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4846" yWindow="65311" windowWidth="8940" windowHeight="4695" activeTab="0"/>
  </bookViews>
  <sheets>
    <sheet name="LandN" sheetId="1" r:id="rId1"/>
    <sheet name="land summary" sheetId="2" r:id="rId2"/>
    <sheet name="N sources" sheetId="3" r:id="rId3"/>
    <sheet name="rates" sheetId="4" r:id="rId4"/>
    <sheet name="Conversions" sheetId="5" r:id="rId5"/>
  </sheets>
  <definedNames>
    <definedName name="CONSTANTS">'rates'!$B$43:$F$52</definedName>
  </definedNames>
  <calcPr fullCalcOnLoad="1"/>
</workbook>
</file>

<file path=xl/sharedStrings.xml><?xml version="1.0" encoding="utf-8"?>
<sst xmlns="http://schemas.openxmlformats.org/spreadsheetml/2006/main" count="224" uniqueCount="192">
  <si>
    <t>BBP Loading model for GIS data (from Costa et al., 1999)</t>
  </si>
  <si>
    <t xml:space="preserve">note: GIS model is for preliminary estimates, parcel data spreadsheet should be used for regulatory analyses </t>
  </si>
  <si>
    <t xml:space="preserve">areas of </t>
  </si>
  <si>
    <t>areas of</t>
  </si>
  <si>
    <t>embayment</t>
  </si>
  <si>
    <t xml:space="preserve">combined </t>
  </si>
  <si>
    <t>GIS</t>
  </si>
  <si>
    <t>Mass GIS 1:25k Landuse type</t>
  </si>
  <si>
    <t>upper</t>
  </si>
  <si>
    <t>lower</t>
  </si>
  <si>
    <t>watershed</t>
  </si>
  <si>
    <t>(areas in hectares unless specified)</t>
  </si>
  <si>
    <t>watershed (1)</t>
  </si>
  <si>
    <t>areas</t>
  </si>
  <si>
    <t>N (kg/yr)</t>
  </si>
  <si>
    <t>% N-load</t>
  </si>
  <si>
    <t>Cropland</t>
  </si>
  <si>
    <t>Pasture</t>
  </si>
  <si>
    <t>Forest</t>
  </si>
  <si>
    <t>Non-forested wetland</t>
  </si>
  <si>
    <t>Mining</t>
  </si>
  <si>
    <t>Open land</t>
  </si>
  <si>
    <t>Participatory recreation</t>
  </si>
  <si>
    <t>Spectator recreation</t>
  </si>
  <si>
    <t>Water based recreation</t>
  </si>
  <si>
    <t>R0: residential multi-family</t>
  </si>
  <si>
    <t>additional precip. N added on line 44, sewering adjustments below</t>
  </si>
  <si>
    <t>R1: Residential- &lt;¼ acre lots</t>
  </si>
  <si>
    <t>R2: Residential- &lt;¼-½ acre lots</t>
  </si>
  <si>
    <t>R3: Residential- &lt;½ acre lots</t>
  </si>
  <si>
    <t>Salt marsh</t>
  </si>
  <si>
    <t>Commercial</t>
  </si>
  <si>
    <t>if sewered, use rates:b18, additional precip. N added on line 44</t>
  </si>
  <si>
    <t>Industrial</t>
  </si>
  <si>
    <t>additional precip. N added on line 44</t>
  </si>
  <si>
    <t>Urban open</t>
  </si>
  <si>
    <t>Transportation (maj. highways)</t>
  </si>
  <si>
    <t>Waste disposal</t>
  </si>
  <si>
    <t>Water (ponds, other freshwater)</t>
  </si>
  <si>
    <t>Woody perrenial (bogs orchards etc.)</t>
  </si>
  <si>
    <t>Major road length (km)</t>
  </si>
  <si>
    <t>Secondary Road length (km)</t>
  </si>
  <si>
    <t xml:space="preserve">Road Area (ha) </t>
  </si>
  <si>
    <t>Embayment area (km2)</t>
  </si>
  <si>
    <t>Totals Land area (ha)</t>
  </si>
  <si>
    <t>Total N load with predicted units (kg) before adjustments</t>
  </si>
  <si>
    <t>Actual occupancy</t>
  </si>
  <si>
    <t>assume 2.2 without census data</t>
  </si>
  <si>
    <t>Predicted # of units (existing)</t>
  </si>
  <si>
    <t>Actual units</t>
  </si>
  <si>
    <t>entry into this colum will remove loads in landuse</t>
  </si>
  <si>
    <t>Total N load with actual units (kg)</t>
  </si>
  <si>
    <t>use this value if actual units known</t>
  </si>
  <si>
    <t>Unit density (per acre)</t>
  </si>
  <si>
    <t>Predicted population (existing)</t>
  </si>
  <si>
    <t>Point sources (e.g. STFs)</t>
  </si>
  <si>
    <t>Commercial Area sewered?</t>
  </si>
  <si>
    <t>N</t>
  </si>
  <si>
    <t>Sewering adjustment (units sewered)</t>
  </si>
  <si>
    <t>Sewering adjustment (kg N lost)</t>
  </si>
  <si>
    <t>Precip background residential, other</t>
  </si>
  <si>
    <t>Adjusted NPS loading, actual occup.</t>
  </si>
  <si>
    <t>Preliminary Buildout estimate:</t>
  </si>
  <si>
    <t>actual buildouts require parcel analysis</t>
  </si>
  <si>
    <t>Additional units w/ buildout</t>
  </si>
  <si>
    <t>Assumes 50% undeveloped buildable, change rates:b50 for other value</t>
  </si>
  <si>
    <t>Additional population w/ buildout</t>
  </si>
  <si>
    <t>Total load buildout, occup=3.0</t>
  </si>
  <si>
    <t>Area</t>
  </si>
  <si>
    <t>Residential</t>
  </si>
  <si>
    <t>Other developed</t>
  </si>
  <si>
    <t>Agriculture</t>
  </si>
  <si>
    <t>Total:</t>
  </si>
  <si>
    <t>Total "developed"</t>
  </si>
  <si>
    <t>Residential Septic</t>
  </si>
  <si>
    <t>Residential lawns, impervious</t>
  </si>
  <si>
    <t>Indust.+Comm.+Rds</t>
  </si>
  <si>
    <t>Cropland:</t>
  </si>
  <si>
    <t>Farm Animals:</t>
  </si>
  <si>
    <t>Point Sources:</t>
  </si>
  <si>
    <t>Other Sources</t>
  </si>
  <si>
    <t>Total</t>
  </si>
  <si>
    <t>% contribution precip background</t>
  </si>
  <si>
    <t>% contrib of precip on impervious</t>
  </si>
  <si>
    <t>% contribution on bay</t>
  </si>
  <si>
    <t>Note: N from lawns only approximated on this page</t>
  </si>
  <si>
    <t>cross check for different calc methods:</t>
  </si>
  <si>
    <t>This page residential:</t>
  </si>
  <si>
    <t>MassGIS Land use N loading coeefficients</t>
  </si>
  <si>
    <t xml:space="preserve">alternative </t>
  </si>
  <si>
    <t>value:</t>
  </si>
  <si>
    <t>CROPLAND</t>
  </si>
  <si>
    <t>Alternates precipitation for forest</t>
  </si>
  <si>
    <t xml:space="preserve">PASTURE </t>
  </si>
  <si>
    <t>(caution:other tables refer to cell c5)</t>
  </si>
  <si>
    <t>FOREST</t>
  </si>
  <si>
    <t>= uM DIN precip background</t>
  </si>
  <si>
    <t>NON-FORESTED WETLAND</t>
  </si>
  <si>
    <t>MINING</t>
  </si>
  <si>
    <t xml:space="preserve">OPEN LAND </t>
  </si>
  <si>
    <t>PARTICIPATION RECREATION</t>
  </si>
  <si>
    <t>apriori</t>
  </si>
  <si>
    <t>SPECTATOR RECREATION</t>
  </si>
  <si>
    <t>3.0 occupancy</t>
  </si>
  <si>
    <t>typ</t>
  </si>
  <si>
    <t>%infra</t>
  </si>
  <si>
    <t>density</t>
  </si>
  <si>
    <t>WATER BASED RECREATION</t>
  </si>
  <si>
    <t>units/ac</t>
  </si>
  <si>
    <t>units/ha</t>
  </si>
  <si>
    <t>lawns kg/unit</t>
  </si>
  <si>
    <t>imperv kg/unit</t>
  </si>
  <si>
    <t>kg/unit</t>
  </si>
  <si>
    <t>parc size</t>
  </si>
  <si>
    <t>(units/acre</t>
  </si>
  <si>
    <t>RESIDENTIAL-MULTI-FAMILY, 3.0 occup</t>
  </si>
  <si>
    <t>RESIDENTIAL-&lt;1/4 AC LOTS, 3.0 occup</t>
  </si>
  <si>
    <t>RESIDENTIAL-1/4 - 1/2 AC, 3.0 occup.</t>
  </si>
  <si>
    <t>RESIDENTIAL-&gt;1/2 AC LOTS, 3.0 occup</t>
  </si>
  <si>
    <t>SALT MARSH</t>
  </si>
  <si>
    <t>COMMERCIAL unsewered</t>
  </si>
  <si>
    <t>COMMERCIAL, sewered</t>
  </si>
  <si>
    <t>INDUSTRIAL</t>
  </si>
  <si>
    <t>URBAN OPEN</t>
  </si>
  <si>
    <t>TRANSPORTATION</t>
  </si>
  <si>
    <t>WASTE DISPOSAL</t>
  </si>
  <si>
    <t>WATER (fresh)</t>
  </si>
  <si>
    <t>WOODY PERENIAL</t>
  </si>
  <si>
    <t>ROADS (Kg/ha)</t>
  </si>
  <si>
    <t>EMBAYMENT SURF. DEPOSITION</t>
  </si>
  <si>
    <t>N lode/per cap</t>
  </si>
  <si>
    <t>kg/person</t>
  </si>
  <si>
    <t>Average regional occupancy:</t>
  </si>
  <si>
    <t>Planning Occupancy:</t>
  </si>
  <si>
    <t>persons/unit</t>
  </si>
  <si>
    <t>Fert. Lawn</t>
  </si>
  <si>
    <t>lb/5000</t>
  </si>
  <si>
    <t>=25% leaching</t>
  </si>
  <si>
    <t>Imperv lot</t>
  </si>
  <si>
    <t>Imperv.Surf</t>
  </si>
  <si>
    <t>kg/ha</t>
  </si>
  <si>
    <t>assumed Road width, secondary</t>
  </si>
  <si>
    <t>m</t>
  </si>
  <si>
    <t>assumed Road width, major</t>
  </si>
  <si>
    <t>average watershed Road length/unit</t>
  </si>
  <si>
    <t>km/unit</t>
  </si>
  <si>
    <t>potential buildout portion of forest:</t>
  </si>
  <si>
    <t>fraction of forest buildable</t>
  </si>
  <si>
    <t>Upper watershed transmittal (1-attenuation)</t>
  </si>
  <si>
    <t>important conversions</t>
  </si>
  <si>
    <t>1 mile = 1.61 km</t>
  </si>
  <si>
    <t>1 yd = 0.914 m</t>
  </si>
  <si>
    <t>1 acre= 43,560 feet</t>
  </si>
  <si>
    <t>1 sq km = 100 ha (hectares)</t>
  </si>
  <si>
    <t>1 acre = 0.405 ha</t>
  </si>
  <si>
    <t>1 lb = 0.455 kg</t>
  </si>
  <si>
    <t>1 ft = 0.305 m</t>
  </si>
  <si>
    <t>Water</t>
  </si>
  <si>
    <t>Selected wetlands</t>
  </si>
  <si>
    <t>Y</t>
  </si>
  <si>
    <t>Comments</t>
  </si>
  <si>
    <t>enter Y or N (case insensitive)</t>
  </si>
  <si>
    <t>22 or</t>
  </si>
  <si>
    <t>37 codes</t>
  </si>
  <si>
    <t>Cranberry Bog</t>
  </si>
  <si>
    <t>Power Lines</t>
  </si>
  <si>
    <t>saltwater beach</t>
  </si>
  <si>
    <t>Golf</t>
  </si>
  <si>
    <t>Tidal Salt Marshes</t>
  </si>
  <si>
    <t>Marina</t>
  </si>
  <si>
    <t>Irregularly flooded salt marshes</t>
  </si>
  <si>
    <t>Urban Public</t>
  </si>
  <si>
    <t>Transportation Facilities</t>
  </si>
  <si>
    <t>Heath</t>
  </si>
  <si>
    <t>Cemeteries</t>
  </si>
  <si>
    <t>Orchard</t>
  </si>
  <si>
    <t>Nursery</t>
  </si>
  <si>
    <t>Forested Wetland</t>
  </si>
  <si>
    <t>Other rates:</t>
  </si>
  <si>
    <t>Cranberry bog production area</t>
  </si>
  <si>
    <t>LandN page residential:</t>
  </si>
  <si>
    <t>uM</t>
  </si>
  <si>
    <t>no road</t>
  </si>
  <si>
    <t>road incl.</t>
  </si>
  <si>
    <t>per unit</t>
  </si>
  <si>
    <t>per hectare</t>
  </si>
  <si>
    <t>sewered</t>
  </si>
  <si>
    <t>loading</t>
  </si>
  <si>
    <t>annual lbs/ ac</t>
  </si>
  <si>
    <t>annual Kg/ha</t>
  </si>
  <si>
    <t>last update July 28, 2009</t>
  </si>
  <si>
    <t># Animal units (1000 lbs of animal)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</si>
</sst>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2"/>
      <name val="Times New Roman"/>
      <family val="0"/>
    </font>
    <font>
      <sz val="8"/>
      <name val="Times New Roman"/>
      <family val="0"/>
    </font>
    <font>
      <sz val="6"/>
      <name val="Times New Roman"/>
      <family val="0"/>
    </font>
    <font>
      <i/>
      <sz val="12"/>
      <name val="Times New Roman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3"/>
        <bgColor indexed="43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5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33" borderId="9" xfId="0" applyFont="1" applyFill="1" applyBorder="1" applyAlignment="1" applyProtection="1">
      <alignment/>
      <protection/>
    </xf>
    <xf numFmtId="1" fontId="5" fillId="33" borderId="9" xfId="0" applyNumberFormat="1" applyFont="1" applyFill="1" applyBorder="1" applyAlignment="1" applyProtection="1">
      <alignment/>
      <protection/>
    </xf>
    <xf numFmtId="0" fontId="5" fillId="34" borderId="9" xfId="0" applyFont="1" applyFill="1" applyBorder="1" applyAlignment="1" applyProtection="1">
      <alignment/>
      <protection/>
    </xf>
    <xf numFmtId="0" fontId="0" fillId="34" borderId="9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33" borderId="9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35" borderId="9" xfId="0" applyNumberFormat="1" applyFont="1" applyFill="1" applyBorder="1" applyAlignment="1" applyProtection="1">
      <alignment/>
      <protection locked="0"/>
    </xf>
    <xf numFmtId="164" fontId="5" fillId="36" borderId="9" xfId="0" applyNumberFormat="1" applyFont="1" applyFill="1" applyBorder="1" applyAlignment="1" applyProtection="1">
      <alignment/>
      <protection locked="0"/>
    </xf>
    <xf numFmtId="164" fontId="5" fillId="37" borderId="9" xfId="0" applyNumberFormat="1" applyFont="1" applyFill="1" applyBorder="1" applyAlignment="1" applyProtection="1">
      <alignment/>
      <protection locked="0"/>
    </xf>
    <xf numFmtId="164" fontId="5" fillId="38" borderId="9" xfId="0" applyNumberFormat="1" applyFont="1" applyFill="1" applyBorder="1" applyAlignment="1" applyProtection="1">
      <alignment/>
      <protection locked="0"/>
    </xf>
    <xf numFmtId="164" fontId="5" fillId="38" borderId="9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F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Land Use categories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6"/>
          <c:y val="0.3195"/>
          <c:w val="0.32525"/>
          <c:h val="0.484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'land summary'!$B$1:$B$6</c:f>
              <c:strCache/>
            </c:strRef>
          </c:cat>
          <c:val>
            <c:numRef>
              <c:f>'land summary'!$D$1:$D$6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Embayment N sources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25"/>
          <c:y val="0.32325"/>
          <c:w val="0.32675"/>
          <c:h val="0.48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'N sources'!$A$1:$A$7</c:f>
              <c:strCache/>
            </c:strRef>
          </c:cat>
          <c:val>
            <c:numRef>
              <c:f>'N sources'!$C$1:$C$7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4</xdr:col>
      <xdr:colOff>9525</xdr:colOff>
      <xdr:row>43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2476500" y="1219200"/>
          <a:ext cx="1524000" cy="7410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466975" y="3819525"/>
          <a:ext cx="1524000" cy="480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6"/>
        <xdr:cNvSpPr>
          <a:spLocks/>
        </xdr:cNvSpPr>
      </xdr:nvSpPr>
      <xdr:spPr>
        <a:xfrm>
          <a:off x="2466975" y="1209675"/>
          <a:ext cx="781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5</xdr:col>
      <xdr:colOff>0</xdr:colOff>
      <xdr:row>52</xdr:row>
      <xdr:rowOff>0</xdr:rowOff>
    </xdr:to>
    <xdr:sp>
      <xdr:nvSpPr>
        <xdr:cNvPr id="4" name="Rectangle 7"/>
        <xdr:cNvSpPr>
          <a:spLocks/>
        </xdr:cNvSpPr>
      </xdr:nvSpPr>
      <xdr:spPr>
        <a:xfrm>
          <a:off x="390525" y="1209675"/>
          <a:ext cx="4267200" cy="921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114300</xdr:rowOff>
    </xdr:from>
    <xdr:to>
      <xdr:col>9</xdr:col>
      <xdr:colOff>114300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181350" y="114300"/>
        <a:ext cx="3857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7</xdr:col>
      <xdr:colOff>704850</xdr:colOff>
      <xdr:row>13</xdr:row>
      <xdr:rowOff>19050</xdr:rowOff>
    </xdr:to>
    <xdr:graphicFrame>
      <xdr:nvGraphicFramePr>
        <xdr:cNvPr id="1" name="Chart 2"/>
        <xdr:cNvGraphicFramePr/>
      </xdr:nvGraphicFramePr>
      <xdr:xfrm>
        <a:off x="3867150" y="0"/>
        <a:ext cx="3810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5"/>
  <sheetViews>
    <sheetView tabSelected="1" defaultGridColor="0" zoomScalePageLayoutView="0" colorId="8" workbookViewId="0" topLeftCell="A1">
      <pane ySplit="6" topLeftCell="A50" activePane="bottomLeft" state="frozen"/>
      <selection pane="topLeft" activeCell="A1" sqref="A1"/>
      <selection pane="bottomLeft" activeCell="C54" sqref="C54"/>
    </sheetView>
  </sheetViews>
  <sheetFormatPr defaultColWidth="9.75390625" defaultRowHeight="15.75"/>
  <cols>
    <col min="1" max="1" width="5.125" style="14" customWidth="1"/>
    <col min="2" max="2" width="27.25390625" style="14" customWidth="1"/>
    <col min="3" max="3" width="10.25390625" style="33" customWidth="1"/>
    <col min="4" max="4" width="9.75390625" style="33" customWidth="1"/>
    <col min="5" max="5" width="8.75390625" style="14" customWidth="1"/>
    <col min="6" max="7" width="9.75390625" style="14" customWidth="1"/>
    <col min="8" max="8" width="20.25390625" style="14" customWidth="1"/>
    <col min="9" max="16384" width="9.75390625" style="16" customWidth="1"/>
  </cols>
  <sheetData>
    <row r="1" spans="1:6" ht="15.75">
      <c r="A1" s="13" t="s">
        <v>0</v>
      </c>
      <c r="F1" s="15" t="s">
        <v>190</v>
      </c>
    </row>
    <row r="2" ht="15.75">
      <c r="A2" s="14" t="s">
        <v>1</v>
      </c>
    </row>
    <row r="3" spans="3:4" ht="15.75">
      <c r="C3" s="33" t="s">
        <v>2</v>
      </c>
      <c r="D3" s="33" t="s">
        <v>3</v>
      </c>
    </row>
    <row r="4" spans="1:5" ht="15.75">
      <c r="A4" s="14" t="s">
        <v>6</v>
      </c>
      <c r="C4" s="33" t="s">
        <v>4</v>
      </c>
      <c r="D4" s="33" t="s">
        <v>4</v>
      </c>
      <c r="E4" s="14" t="s">
        <v>5</v>
      </c>
    </row>
    <row r="5" spans="1:6" ht="15.75">
      <c r="A5" s="14" t="s">
        <v>162</v>
      </c>
      <c r="B5" s="14" t="s">
        <v>7</v>
      </c>
      <c r="C5" s="33" t="s">
        <v>8</v>
      </c>
      <c r="D5" s="33" t="s">
        <v>9</v>
      </c>
      <c r="E5" s="14" t="s">
        <v>10</v>
      </c>
      <c r="F5" s="14">
        <f>IF(6&gt;1+4&gt;3,1,0)</f>
        <v>1</v>
      </c>
    </row>
    <row r="6" spans="1:8" s="19" customFormat="1" ht="16.5" thickBot="1">
      <c r="A6" s="17" t="s">
        <v>163</v>
      </c>
      <c r="B6" s="17" t="s">
        <v>11</v>
      </c>
      <c r="C6" s="36" t="s">
        <v>12</v>
      </c>
      <c r="D6" s="36" t="s">
        <v>10</v>
      </c>
      <c r="E6" s="17" t="s">
        <v>13</v>
      </c>
      <c r="F6" s="17" t="s">
        <v>14</v>
      </c>
      <c r="G6" s="17" t="s">
        <v>15</v>
      </c>
      <c r="H6" s="18" t="s">
        <v>160</v>
      </c>
    </row>
    <row r="7" spans="1:7" ht="16.5" thickTop="1">
      <c r="A7" s="14">
        <v>1</v>
      </c>
      <c r="B7" s="14" t="s">
        <v>16</v>
      </c>
      <c r="C7" s="37">
        <v>6</v>
      </c>
      <c r="D7" s="37">
        <v>2.50914</v>
      </c>
      <c r="E7" s="20">
        <f aca="true" t="shared" si="0" ref="E7:E46">C7+D7</f>
        <v>8.50914</v>
      </c>
      <c r="F7" s="21">
        <f>(+C7*rates!C$53+D7)*rates!$C3</f>
        <v>68.43322799999999</v>
      </c>
      <c r="G7" s="22">
        <f aca="true" t="shared" si="1" ref="G7:G27">F7/F$47</f>
        <v>0.0020471195296817538</v>
      </c>
    </row>
    <row r="8" spans="1:7" ht="15.75">
      <c r="A8" s="14">
        <v>2</v>
      </c>
      <c r="B8" s="14" t="s">
        <v>17</v>
      </c>
      <c r="C8" s="37">
        <v>8</v>
      </c>
      <c r="D8" s="37">
        <v>3.5613600000000005</v>
      </c>
      <c r="E8" s="20">
        <f t="shared" si="0"/>
        <v>11.56136</v>
      </c>
      <c r="F8" s="21">
        <f>(+C8*rates!C$53+D8)*rates!$C4</f>
        <v>45.8068</v>
      </c>
      <c r="G8" s="22">
        <f t="shared" si="1"/>
        <v>0.0013702699348367168</v>
      </c>
    </row>
    <row r="9" spans="1:7" ht="15.75">
      <c r="A9" s="14">
        <v>3</v>
      </c>
      <c r="B9" s="14" t="s">
        <v>18</v>
      </c>
      <c r="C9" s="37">
        <v>1000</v>
      </c>
      <c r="D9" s="37">
        <v>626.23278</v>
      </c>
      <c r="E9" s="20">
        <f t="shared" si="0"/>
        <v>1626.23278</v>
      </c>
      <c r="F9" s="21">
        <f>(+C9*rates!C$53+D9)*rates!$C5</f>
        <v>663.11639</v>
      </c>
      <c r="G9" s="22">
        <f t="shared" si="1"/>
        <v>0.01983654069951315</v>
      </c>
    </row>
    <row r="10" spans="1:7" ht="15.75">
      <c r="A10" s="14">
        <v>4</v>
      </c>
      <c r="B10" s="14" t="s">
        <v>19</v>
      </c>
      <c r="C10" s="37">
        <v>20</v>
      </c>
      <c r="D10" s="37">
        <v>35.81595</v>
      </c>
      <c r="E10" s="20">
        <f t="shared" si="0"/>
        <v>55.81595</v>
      </c>
      <c r="F10" s="21">
        <f>(+C10*rates!C$53+D10)*rates!$C6</f>
        <v>0</v>
      </c>
      <c r="G10" s="22">
        <f t="shared" si="1"/>
        <v>0</v>
      </c>
    </row>
    <row r="11" spans="1:7" ht="15.75">
      <c r="A11" s="14">
        <v>5</v>
      </c>
      <c r="B11" s="14" t="s">
        <v>20</v>
      </c>
      <c r="C11" s="37">
        <v>0</v>
      </c>
      <c r="D11" s="37">
        <v>2.1044400000000003</v>
      </c>
      <c r="E11" s="20">
        <f t="shared" si="0"/>
        <v>2.1044400000000003</v>
      </c>
      <c r="F11" s="21">
        <f>(+C11*rates!C$53+D11)*rates!$C7</f>
        <v>15.930610800000004</v>
      </c>
      <c r="G11" s="22">
        <f t="shared" si="1"/>
        <v>0.0004765501415253871</v>
      </c>
    </row>
    <row r="12" spans="1:7" ht="15.75">
      <c r="A12" s="14">
        <v>6</v>
      </c>
      <c r="B12" s="14" t="s">
        <v>21</v>
      </c>
      <c r="C12" s="37">
        <v>1</v>
      </c>
      <c r="D12" s="37">
        <v>33.75198</v>
      </c>
      <c r="E12" s="20">
        <f t="shared" si="0"/>
        <v>34.75198</v>
      </c>
      <c r="F12" s="21">
        <f>(+C12*rates!C$53+D12)*rates!$C8</f>
        <v>17.225990000000003</v>
      </c>
      <c r="G12" s="22">
        <f t="shared" si="1"/>
        <v>0.0005153002653492045</v>
      </c>
    </row>
    <row r="13" spans="1:7" ht="15.75">
      <c r="A13" s="14">
        <v>7</v>
      </c>
      <c r="B13" s="14" t="s">
        <v>22</v>
      </c>
      <c r="C13" s="37">
        <v>34</v>
      </c>
      <c r="D13" s="37">
        <v>30.95955</v>
      </c>
      <c r="E13" s="20">
        <f t="shared" si="0"/>
        <v>64.95955000000001</v>
      </c>
      <c r="F13" s="21">
        <f>(+C13*rates!C$53+D13)*rates!$C9</f>
        <v>1604.454815</v>
      </c>
      <c r="G13" s="22">
        <f t="shared" si="1"/>
        <v>0.04799584766450629</v>
      </c>
    </row>
    <row r="14" spans="1:7" ht="15.75">
      <c r="A14" s="14">
        <v>8</v>
      </c>
      <c r="B14" s="14" t="s">
        <v>23</v>
      </c>
      <c r="C14" s="37">
        <v>2</v>
      </c>
      <c r="D14" s="37">
        <v>1.6188</v>
      </c>
      <c r="E14" s="20">
        <f t="shared" si="0"/>
        <v>3.6188000000000002</v>
      </c>
      <c r="F14" s="21">
        <f>(+C14*rates!C$53+D14)*rates!$C10</f>
        <v>88.45084</v>
      </c>
      <c r="G14" s="22">
        <f t="shared" si="1"/>
        <v>0.0026459286997356913</v>
      </c>
    </row>
    <row r="15" spans="1:7" ht="15.75">
      <c r="A15" s="14">
        <v>9</v>
      </c>
      <c r="B15" s="14" t="s">
        <v>24</v>
      </c>
      <c r="C15" s="37">
        <v>0</v>
      </c>
      <c r="D15" s="37">
        <v>8.13447</v>
      </c>
      <c r="E15" s="20">
        <f t="shared" si="0"/>
        <v>8.13447</v>
      </c>
      <c r="F15" s="21">
        <f>(+C15*rates!C$53+D15)*rates!$C11</f>
        <v>61.5779379</v>
      </c>
      <c r="G15" s="22">
        <f t="shared" si="1"/>
        <v>0.0018420495855115922</v>
      </c>
    </row>
    <row r="16" spans="1:8" ht="15.75">
      <c r="A16" s="14">
        <v>10</v>
      </c>
      <c r="B16" s="14" t="s">
        <v>25</v>
      </c>
      <c r="C16" s="37">
        <v>0</v>
      </c>
      <c r="D16" s="37">
        <v>2.75196</v>
      </c>
      <c r="E16" s="20">
        <f t="shared" si="0"/>
        <v>2.75196</v>
      </c>
      <c r="F16" s="21">
        <f>(+C16*rates!C$53+D16)*rates!G12*(D$48*rates!C$43+rates!H12+rates!I12)</f>
        <v>217.7182736085764</v>
      </c>
      <c r="G16" s="22">
        <f t="shared" si="1"/>
        <v>0.006512849720792251</v>
      </c>
      <c r="H16" s="14" t="s">
        <v>26</v>
      </c>
    </row>
    <row r="17" spans="1:8" ht="15.75">
      <c r="A17" s="14">
        <v>11</v>
      </c>
      <c r="B17" s="14" t="s">
        <v>27</v>
      </c>
      <c r="C17" s="37">
        <v>12</v>
      </c>
      <c r="D17" s="37">
        <v>165.84606</v>
      </c>
      <c r="E17" s="20">
        <f t="shared" si="0"/>
        <v>177.84606</v>
      </c>
      <c r="F17" s="21">
        <f>(+C17*rates!C$53+D17)*rates!G13*(D$48*rates!C$43+rates!H13+rates!I13)</f>
        <v>10999.484601547465</v>
      </c>
      <c r="G17" s="22">
        <f t="shared" si="1"/>
        <v>0.3290398597631774</v>
      </c>
      <c r="H17" s="14" t="s">
        <v>26</v>
      </c>
    </row>
    <row r="18" spans="1:8" ht="15.75">
      <c r="A18" s="14">
        <v>12</v>
      </c>
      <c r="B18" s="14" t="s">
        <v>28</v>
      </c>
      <c r="C18" s="37">
        <v>23</v>
      </c>
      <c r="D18" s="37">
        <v>48.11883</v>
      </c>
      <c r="E18" s="20">
        <f t="shared" si="0"/>
        <v>71.11883</v>
      </c>
      <c r="F18" s="21">
        <f>(+C18*rates!C$53+D18)*rates!G14*(D$48*rates!C$43+rates!H14+rates!I14)</f>
        <v>2557.744416173365</v>
      </c>
      <c r="G18" s="22">
        <f t="shared" si="1"/>
        <v>0.07651266350146384</v>
      </c>
      <c r="H18" s="14" t="s">
        <v>26</v>
      </c>
    </row>
    <row r="19" spans="1:8" ht="15.75">
      <c r="A19" s="14">
        <v>13</v>
      </c>
      <c r="B19" s="14" t="s">
        <v>29</v>
      </c>
      <c r="C19" s="37">
        <v>89</v>
      </c>
      <c r="D19" s="37">
        <v>68.31336</v>
      </c>
      <c r="E19" s="20">
        <f t="shared" si="0"/>
        <v>157.31336</v>
      </c>
      <c r="F19" s="21">
        <f>(+C19*rates!C$53+D19)*rates!G15*(D$48*rates!C$43+rates!H15+rates!I15)</f>
        <v>2469.73134601369</v>
      </c>
      <c r="G19" s="22">
        <f t="shared" si="1"/>
        <v>0.07387983029957072</v>
      </c>
      <c r="H19" s="14" t="s">
        <v>26</v>
      </c>
    </row>
    <row r="20" spans="1:7" ht="15.75">
      <c r="A20" s="14">
        <v>14</v>
      </c>
      <c r="B20" s="14" t="s">
        <v>30</v>
      </c>
      <c r="C20" s="37">
        <v>0</v>
      </c>
      <c r="D20" s="37">
        <v>73.33164</v>
      </c>
      <c r="E20" s="20">
        <f t="shared" si="0"/>
        <v>73.33164</v>
      </c>
      <c r="F20" s="21">
        <f>(+C20*rates!C$53+D20)*rates!$C16</f>
        <v>0</v>
      </c>
      <c r="G20" s="22">
        <f t="shared" si="1"/>
        <v>0</v>
      </c>
    </row>
    <row r="21" spans="1:8" ht="15.75">
      <c r="A21" s="14">
        <v>15</v>
      </c>
      <c r="B21" s="14" t="s">
        <v>31</v>
      </c>
      <c r="C21" s="37">
        <v>5</v>
      </c>
      <c r="D21" s="37">
        <v>51.558780000000006</v>
      </c>
      <c r="E21" s="20">
        <f t="shared" si="0"/>
        <v>56.558780000000006</v>
      </c>
      <c r="F21" s="21">
        <f>(+C21*rates!C$53+D21)*rates!$C17</f>
        <v>6662.1123800000005</v>
      </c>
      <c r="G21" s="22">
        <f t="shared" si="1"/>
        <v>0.19929120341996134</v>
      </c>
      <c r="H21" s="14" t="s">
        <v>32</v>
      </c>
    </row>
    <row r="22" spans="1:8" ht="15.75">
      <c r="A22" s="14">
        <v>16</v>
      </c>
      <c r="B22" s="14" t="s">
        <v>33</v>
      </c>
      <c r="C22" s="37">
        <v>0</v>
      </c>
      <c r="D22" s="37">
        <v>0</v>
      </c>
      <c r="E22" s="20">
        <f t="shared" si="0"/>
        <v>0</v>
      </c>
      <c r="F22" s="21">
        <f>(+C22*rates!C$53+D22)*rates!$C19</f>
        <v>0</v>
      </c>
      <c r="G22" s="22">
        <f t="shared" si="1"/>
        <v>0</v>
      </c>
      <c r="H22" s="14" t="s">
        <v>34</v>
      </c>
    </row>
    <row r="23" spans="1:8" ht="15.75">
      <c r="A23" s="14">
        <v>17</v>
      </c>
      <c r="B23" s="14" t="s">
        <v>35</v>
      </c>
      <c r="C23" s="37">
        <v>3</v>
      </c>
      <c r="D23" s="37">
        <v>18.2115</v>
      </c>
      <c r="E23" s="20">
        <f t="shared" si="0"/>
        <v>21.2115</v>
      </c>
      <c r="F23" s="21">
        <f>(+C23*rates!C$53+D23)*rates!$C20</f>
        <v>10.155750000000001</v>
      </c>
      <c r="G23" s="22">
        <f t="shared" si="1"/>
        <v>0.00030380028490787367</v>
      </c>
      <c r="H23" s="14" t="s">
        <v>34</v>
      </c>
    </row>
    <row r="24" spans="1:7" ht="15.75">
      <c r="A24" s="14">
        <v>18</v>
      </c>
      <c r="B24" s="14" t="s">
        <v>36</v>
      </c>
      <c r="C24" s="37">
        <v>12</v>
      </c>
      <c r="D24" s="37">
        <v>33.1854</v>
      </c>
      <c r="E24" s="20">
        <f t="shared" si="0"/>
        <v>45.1854</v>
      </c>
      <c r="F24" s="21">
        <f>(+C24*rates!C$53+D24)*rates!$C21</f>
        <v>629.187102</v>
      </c>
      <c r="G24" s="22">
        <f t="shared" si="1"/>
        <v>0.018821576038004023</v>
      </c>
    </row>
    <row r="25" spans="1:7" ht="15.75">
      <c r="A25" s="14">
        <v>19</v>
      </c>
      <c r="B25" s="14" t="s">
        <v>37</v>
      </c>
      <c r="C25" s="37">
        <v>0</v>
      </c>
      <c r="D25" s="37">
        <v>1.0926900000000002</v>
      </c>
      <c r="E25" s="20">
        <f t="shared" si="0"/>
        <v>1.0926900000000002</v>
      </c>
      <c r="F25" s="21">
        <f>(+C25*rates!C$53+D25)*rates!$C22</f>
        <v>16.532399700000003</v>
      </c>
      <c r="G25" s="22">
        <f t="shared" si="1"/>
        <v>0.0004945521245669543</v>
      </c>
    </row>
    <row r="26" spans="1:7" ht="15.75">
      <c r="A26" s="14">
        <v>20</v>
      </c>
      <c r="B26" s="14" t="s">
        <v>38</v>
      </c>
      <c r="C26" s="37">
        <v>89</v>
      </c>
      <c r="D26" s="37">
        <v>56.45565</v>
      </c>
      <c r="E26" s="20">
        <f t="shared" si="0"/>
        <v>145.45565</v>
      </c>
      <c r="F26" s="21">
        <f>(+C26*rates!C$53+D26)*rates!$C23</f>
        <v>0</v>
      </c>
      <c r="G26" s="22">
        <f t="shared" si="1"/>
        <v>0</v>
      </c>
    </row>
    <row r="27" spans="1:7" ht="15.75" customHeight="1">
      <c r="A27" s="14">
        <v>21</v>
      </c>
      <c r="B27" s="14" t="s">
        <v>39</v>
      </c>
      <c r="C27" s="37">
        <v>178</v>
      </c>
      <c r="D27" s="37">
        <v>47.95695</v>
      </c>
      <c r="E27" s="20">
        <f t="shared" si="0"/>
        <v>225.95695</v>
      </c>
      <c r="F27" s="21">
        <f>(+C27*rates!C$53+D27)*rates!$C24</f>
        <v>3956.7308635</v>
      </c>
      <c r="G27" s="22">
        <f t="shared" si="1"/>
        <v>0.11836210655393023</v>
      </c>
    </row>
    <row r="28" spans="1:7" ht="15.75" customHeight="1">
      <c r="A28" s="14">
        <v>23</v>
      </c>
      <c r="B28" s="14" t="s">
        <v>164</v>
      </c>
      <c r="C28" s="37">
        <v>0</v>
      </c>
      <c r="D28" s="37">
        <v>0</v>
      </c>
      <c r="E28" s="20">
        <f t="shared" si="0"/>
        <v>0</v>
      </c>
      <c r="F28" s="21">
        <f>(+C28*rates!C$53+D28)*rates!$C25</f>
        <v>0</v>
      </c>
      <c r="G28" s="22">
        <f aca="true" t="shared" si="2" ref="G28:G41">F28/F$47</f>
        <v>0</v>
      </c>
    </row>
    <row r="29" spans="1:7" ht="15.75" customHeight="1">
      <c r="A29" s="14">
        <v>24</v>
      </c>
      <c r="B29" s="14" t="s">
        <v>165</v>
      </c>
      <c r="C29" s="37">
        <v>0</v>
      </c>
      <c r="D29" s="37">
        <v>0</v>
      </c>
      <c r="E29" s="20">
        <f t="shared" si="0"/>
        <v>0</v>
      </c>
      <c r="F29" s="21">
        <f>(+C29*rates!C$53+D29)*rates!$C26</f>
        <v>0</v>
      </c>
      <c r="G29" s="22">
        <f t="shared" si="2"/>
        <v>0</v>
      </c>
    </row>
    <row r="30" spans="1:7" ht="15.75" customHeight="1">
      <c r="A30" s="14">
        <v>25</v>
      </c>
      <c r="B30" s="14" t="s">
        <v>166</v>
      </c>
      <c r="C30" s="37">
        <v>0</v>
      </c>
      <c r="D30" s="37">
        <v>0</v>
      </c>
      <c r="E30" s="20">
        <f t="shared" si="0"/>
        <v>0</v>
      </c>
      <c r="F30" s="21">
        <f>(+C30*rates!C$53+D30)*rates!$C27</f>
        <v>0</v>
      </c>
      <c r="G30" s="22">
        <f t="shared" si="2"/>
        <v>0</v>
      </c>
    </row>
    <row r="31" spans="1:7" ht="15.75" customHeight="1">
      <c r="A31" s="14">
        <v>26</v>
      </c>
      <c r="B31" s="14" t="s">
        <v>167</v>
      </c>
      <c r="C31" s="37">
        <v>0</v>
      </c>
      <c r="D31" s="37">
        <v>0</v>
      </c>
      <c r="E31" s="20">
        <f t="shared" si="0"/>
        <v>0</v>
      </c>
      <c r="F31" s="21">
        <f>(+C31*rates!C$53+D31)*rates!$C28</f>
        <v>0</v>
      </c>
      <c r="G31" s="22">
        <f t="shared" si="2"/>
        <v>0</v>
      </c>
    </row>
    <row r="32" spans="1:7" ht="15.75" customHeight="1">
      <c r="A32" s="14">
        <v>27</v>
      </c>
      <c r="B32" s="14" t="s">
        <v>168</v>
      </c>
      <c r="C32" s="37">
        <v>0</v>
      </c>
      <c r="D32" s="37">
        <v>0</v>
      </c>
      <c r="E32" s="20">
        <f t="shared" si="0"/>
        <v>0</v>
      </c>
      <c r="F32" s="21">
        <f>(+C32*rates!C$53+D32)*rates!$C29</f>
        <v>0</v>
      </c>
      <c r="G32" s="22">
        <f t="shared" si="2"/>
        <v>0</v>
      </c>
    </row>
    <row r="33" spans="1:7" ht="15.75" customHeight="1">
      <c r="A33" s="14">
        <v>28</v>
      </c>
      <c r="B33" s="14" t="s">
        <v>170</v>
      </c>
      <c r="C33" s="37">
        <v>0</v>
      </c>
      <c r="D33" s="37">
        <v>0</v>
      </c>
      <c r="E33" s="20">
        <f t="shared" si="0"/>
        <v>0</v>
      </c>
      <c r="F33" s="21">
        <f>(+C33*rates!C$53+D33)*rates!$C30</f>
        <v>0</v>
      </c>
      <c r="G33" s="22">
        <f t="shared" si="2"/>
        <v>0</v>
      </c>
    </row>
    <row r="34" spans="1:7" ht="15.75" customHeight="1">
      <c r="A34" s="14">
        <v>29</v>
      </c>
      <c r="B34" s="14" t="s">
        <v>169</v>
      </c>
      <c r="C34" s="37">
        <v>0</v>
      </c>
      <c r="D34" s="37">
        <v>0</v>
      </c>
      <c r="E34" s="20">
        <f t="shared" si="0"/>
        <v>0</v>
      </c>
      <c r="F34" s="21">
        <f>(+C34*rates!C$53+D34)*rates!$C31</f>
        <v>0</v>
      </c>
      <c r="G34" s="22">
        <f t="shared" si="2"/>
        <v>0</v>
      </c>
    </row>
    <row r="35" spans="1:7" ht="15.75" customHeight="1">
      <c r="A35" s="14">
        <v>31</v>
      </c>
      <c r="B35" s="14" t="s">
        <v>171</v>
      </c>
      <c r="C35" s="37">
        <v>0</v>
      </c>
      <c r="D35" s="37">
        <v>0</v>
      </c>
      <c r="E35" s="20">
        <f t="shared" si="0"/>
        <v>0</v>
      </c>
      <c r="F35" s="21">
        <f>(+C35*rates!C$53+D35)*rates!$C32</f>
        <v>0</v>
      </c>
      <c r="G35" s="22">
        <f t="shared" si="2"/>
        <v>0</v>
      </c>
    </row>
    <row r="36" spans="1:7" ht="15.75" customHeight="1">
      <c r="A36" s="14">
        <v>32</v>
      </c>
      <c r="B36" s="14" t="s">
        <v>172</v>
      </c>
      <c r="C36" s="37">
        <v>0</v>
      </c>
      <c r="D36" s="37">
        <v>0</v>
      </c>
      <c r="E36" s="20">
        <f t="shared" si="0"/>
        <v>0</v>
      </c>
      <c r="F36" s="21">
        <f>(+C36*rates!C$53+D36)*rates!$C33</f>
        <v>0</v>
      </c>
      <c r="G36" s="22">
        <f t="shared" si="2"/>
        <v>0</v>
      </c>
    </row>
    <row r="37" spans="1:7" ht="15.75" customHeight="1">
      <c r="A37" s="14">
        <v>33</v>
      </c>
      <c r="B37" s="14" t="s">
        <v>173</v>
      </c>
      <c r="C37" s="37">
        <v>0</v>
      </c>
      <c r="D37" s="37">
        <v>0</v>
      </c>
      <c r="E37" s="20">
        <f t="shared" si="0"/>
        <v>0</v>
      </c>
      <c r="F37" s="21">
        <f>(+C37*rates!C$53+D37)*rates!$C34</f>
        <v>0</v>
      </c>
      <c r="G37" s="22">
        <f t="shared" si="2"/>
        <v>0</v>
      </c>
    </row>
    <row r="38" spans="1:7" ht="15.75" customHeight="1">
      <c r="A38" s="14">
        <v>34</v>
      </c>
      <c r="B38" s="14" t="s">
        <v>174</v>
      </c>
      <c r="C38" s="37">
        <v>0</v>
      </c>
      <c r="D38" s="37">
        <v>0</v>
      </c>
      <c r="E38" s="20">
        <f t="shared" si="0"/>
        <v>0</v>
      </c>
      <c r="F38" s="21">
        <f>(+C38*rates!C$53+D38)*rates!$C35</f>
        <v>0</v>
      </c>
      <c r="G38" s="22">
        <f t="shared" si="2"/>
        <v>0</v>
      </c>
    </row>
    <row r="39" spans="1:7" ht="15.75" customHeight="1">
      <c r="A39" s="14">
        <v>35</v>
      </c>
      <c r="B39" s="14" t="s">
        <v>175</v>
      </c>
      <c r="C39" s="37">
        <v>0</v>
      </c>
      <c r="D39" s="37">
        <v>0</v>
      </c>
      <c r="E39" s="20">
        <f t="shared" si="0"/>
        <v>0</v>
      </c>
      <c r="F39" s="21">
        <f>(+C39*rates!C$53+D39)*rates!$C36</f>
        <v>0</v>
      </c>
      <c r="G39" s="22">
        <f t="shared" si="2"/>
        <v>0</v>
      </c>
    </row>
    <row r="40" spans="1:7" ht="15.75" customHeight="1">
      <c r="A40" s="14">
        <v>36</v>
      </c>
      <c r="B40" s="14" t="s">
        <v>176</v>
      </c>
      <c r="C40" s="37">
        <v>0</v>
      </c>
      <c r="D40" s="37">
        <v>0</v>
      </c>
      <c r="E40" s="20">
        <f t="shared" si="0"/>
        <v>0</v>
      </c>
      <c r="F40" s="21">
        <f>(+C40*rates!C$53+D40)*rates!$C37</f>
        <v>0</v>
      </c>
      <c r="G40" s="22">
        <f t="shared" si="2"/>
        <v>0</v>
      </c>
    </row>
    <row r="41" spans="1:7" ht="15.75" customHeight="1">
      <c r="A41" s="14">
        <v>37</v>
      </c>
      <c r="B41" s="14" t="s">
        <v>177</v>
      </c>
      <c r="C41" s="37">
        <v>0</v>
      </c>
      <c r="D41" s="37">
        <v>0</v>
      </c>
      <c r="E41" s="20">
        <f t="shared" si="0"/>
        <v>0</v>
      </c>
      <c r="F41" s="21">
        <f>(+C41*rates!C$53+D41)*rates!$C38</f>
        <v>0</v>
      </c>
      <c r="G41" s="22">
        <f t="shared" si="2"/>
        <v>0</v>
      </c>
    </row>
    <row r="42" spans="2:5" ht="15.75">
      <c r="B42" s="14" t="s">
        <v>40</v>
      </c>
      <c r="C42" s="37">
        <v>4</v>
      </c>
      <c r="D42" s="38">
        <v>25.02</v>
      </c>
      <c r="E42" s="20">
        <f t="shared" si="0"/>
        <v>29.02</v>
      </c>
    </row>
    <row r="43" spans="2:5" ht="15.75">
      <c r="B43" s="14" t="s">
        <v>41</v>
      </c>
      <c r="C43" s="39">
        <v>60</v>
      </c>
      <c r="D43" s="39">
        <v>25.02</v>
      </c>
      <c r="E43" s="20">
        <f t="shared" si="0"/>
        <v>85.02</v>
      </c>
    </row>
    <row r="44" spans="2:7" ht="15.75">
      <c r="B44" s="14" t="s">
        <v>42</v>
      </c>
      <c r="C44" s="33">
        <f>(C42*1000*rates!$C$50+C43*1000*rates!$C$49)/10000</f>
        <v>54.72</v>
      </c>
      <c r="D44" s="38">
        <f>(D42*1000*rates!$C$50+D43*1000*rates!$C$49)/10000</f>
        <v>62.0496</v>
      </c>
      <c r="E44" s="20">
        <f t="shared" si="0"/>
        <v>116.7696</v>
      </c>
      <c r="F44" s="21">
        <f>(+C44*rates!C53+D44)*rates!$C48</f>
        <v>1535.41008</v>
      </c>
      <c r="G44" s="22">
        <f>F44/F$47</f>
        <v>0.04593043544341099</v>
      </c>
    </row>
    <row r="45" spans="2:7" ht="15.75">
      <c r="B45" s="14" t="s">
        <v>43</v>
      </c>
      <c r="C45" s="20"/>
      <c r="D45" s="40">
        <v>2.39</v>
      </c>
      <c r="E45" s="20">
        <f t="shared" si="0"/>
        <v>2.39</v>
      </c>
      <c r="F45" s="21">
        <f>D45*100*rates!$C$42</f>
        <v>1809.23</v>
      </c>
      <c r="G45" s="22">
        <f>F45/F$47</f>
        <v>0.05412151632955442</v>
      </c>
    </row>
    <row r="46" spans="2:5" ht="15.75">
      <c r="B46" s="14" t="s">
        <v>44</v>
      </c>
      <c r="C46" s="33">
        <f>(SUM(C7:C41))</f>
        <v>1482</v>
      </c>
      <c r="D46" s="33">
        <f>(SUM(D7:D41))</f>
        <v>1311.5112900000006</v>
      </c>
      <c r="E46" s="23">
        <f t="shared" si="0"/>
        <v>2793.5112900000004</v>
      </c>
    </row>
    <row r="47" spans="2:7" ht="15.75">
      <c r="B47" s="14" t="s">
        <v>45</v>
      </c>
      <c r="E47" s="21"/>
      <c r="F47" s="24">
        <f>SUM(F7:F45)</f>
        <v>33429.0338242431</v>
      </c>
      <c r="G47" s="22">
        <f>F47/F$47</f>
        <v>1</v>
      </c>
    </row>
    <row r="48" spans="2:8" ht="15.75">
      <c r="B48" s="14" t="s">
        <v>46</v>
      </c>
      <c r="C48" s="40"/>
      <c r="D48" s="40">
        <v>2.18</v>
      </c>
      <c r="E48" s="25"/>
      <c r="H48" s="14" t="s">
        <v>47</v>
      </c>
    </row>
    <row r="49" spans="2:7" ht="15.75">
      <c r="B49" s="14" t="s">
        <v>48</v>
      </c>
      <c r="C49" s="33">
        <f>(C16*rates!$G$12+C17*rates!$G$13+C18*rates!$G$14+C19*rates!$G$15)</f>
        <v>464.37503000000004</v>
      </c>
      <c r="D49" s="33">
        <f>(D16*rates!$G$12+D17*rates!$G$13+D18*rates!$G$14+D19*rates!$G$15)</f>
        <v>2006.7204916941</v>
      </c>
      <c r="E49" s="16"/>
      <c r="G49" s="21"/>
    </row>
    <row r="50" spans="2:8" ht="15.75">
      <c r="B50" s="14" t="s">
        <v>49</v>
      </c>
      <c r="C50" s="40"/>
      <c r="D50" s="40"/>
      <c r="E50" s="25"/>
      <c r="H50" s="14" t="s">
        <v>50</v>
      </c>
    </row>
    <row r="51" spans="2:8" ht="15.75">
      <c r="B51" s="14" t="s">
        <v>51</v>
      </c>
      <c r="E51" s="21"/>
      <c r="F51" s="24" t="e">
        <f>IF(D50,+F47-SUM(F16:F19),NA())</f>
        <v>#N/A</v>
      </c>
      <c r="H51" s="14" t="s">
        <v>52</v>
      </c>
    </row>
    <row r="52" spans="2:4" ht="15.75">
      <c r="B52" s="14" t="s">
        <v>53</v>
      </c>
      <c r="C52" s="33">
        <f>IF(C50,+C50/C46,+C49/C46)</f>
        <v>0.3133434750337382</v>
      </c>
      <c r="D52" s="33">
        <f>IF(D50,+D50/D46,+D49/D46)</f>
        <v>1.530082513963032</v>
      </c>
    </row>
    <row r="53" spans="2:5" ht="15.75">
      <c r="B53" s="14" t="s">
        <v>54</v>
      </c>
      <c r="C53" s="33">
        <f>IF(C50,C50*C48,C49*C48)</f>
        <v>0</v>
      </c>
      <c r="D53" s="33">
        <f>IF(D50,D50*D48,D49*D48)</f>
        <v>4374.650671893139</v>
      </c>
      <c r="E53" s="16"/>
    </row>
    <row r="54" spans="2:6" ht="15.75">
      <c r="B54" s="14" t="s">
        <v>191</v>
      </c>
      <c r="C54" s="40">
        <v>0</v>
      </c>
      <c r="D54" s="40">
        <v>1</v>
      </c>
      <c r="E54" s="23"/>
      <c r="F54" s="21">
        <f>(D54+C54*rates!C53)*0.3*38.64</f>
        <v>11.592</v>
      </c>
    </row>
    <row r="55" spans="2:6" ht="15.75">
      <c r="B55" s="14" t="s">
        <v>55</v>
      </c>
      <c r="C55" s="40"/>
      <c r="D55" s="40"/>
      <c r="E55" s="25"/>
      <c r="F55" s="14">
        <v>0</v>
      </c>
    </row>
    <row r="56" spans="2:8" ht="15.75">
      <c r="B56" s="14" t="s">
        <v>56</v>
      </c>
      <c r="C56" s="41" t="s">
        <v>57</v>
      </c>
      <c r="D56" s="41" t="s">
        <v>159</v>
      </c>
      <c r="E56" s="25"/>
      <c r="H56" s="14" t="s">
        <v>161</v>
      </c>
    </row>
    <row r="57" spans="2:5" ht="15.75">
      <c r="B57" s="14" t="s">
        <v>58</v>
      </c>
      <c r="C57" s="40">
        <v>0</v>
      </c>
      <c r="D57" s="40">
        <v>502</v>
      </c>
      <c r="E57" s="23"/>
    </row>
    <row r="58" spans="2:6" ht="15.75">
      <c r="B58" s="14" t="s">
        <v>59</v>
      </c>
      <c r="E58" s="16"/>
      <c r="F58" s="21">
        <f>-D57*D48*rates!$C$43</f>
        <v>-2954.7720000000004</v>
      </c>
    </row>
    <row r="59" spans="2:8" ht="15.75">
      <c r="B59" s="14" t="s">
        <v>60</v>
      </c>
      <c r="C59" s="33">
        <f>SUM(C16:C19,C21,C22)</f>
        <v>129</v>
      </c>
      <c r="D59" s="33">
        <f>SUM(D16:D19,D21,D22)</f>
        <v>336.58899</v>
      </c>
      <c r="E59" s="21"/>
      <c r="F59" s="21">
        <f>(+D59+C59*rates!C43)*rates!$E$5</f>
        <v>342.444495</v>
      </c>
      <c r="H59" s="21">
        <f>(+G9+G12+G15+G23+G26)*rates!$E$5</f>
        <v>0.01124884541764091</v>
      </c>
    </row>
    <row r="60" spans="1:14" s="31" customFormat="1" ht="15.75">
      <c r="A60" s="26"/>
      <c r="B60" s="27" t="s">
        <v>61</v>
      </c>
      <c r="C60" s="34"/>
      <c r="D60" s="34"/>
      <c r="E60" s="27"/>
      <c r="F60" s="28">
        <f>IF(E50&gt;0,F51,F47)+SUM(F54:F59)</f>
        <v>30828.298319243102</v>
      </c>
      <c r="G60" s="27"/>
      <c r="H60" s="29"/>
      <c r="I60" s="30"/>
      <c r="J60" s="30"/>
      <c r="K60" s="30"/>
      <c r="L60" s="30"/>
      <c r="M60" s="30"/>
      <c r="N60" s="30"/>
    </row>
    <row r="61" spans="1:3" ht="15.75">
      <c r="A61" s="32"/>
      <c r="B61" s="32"/>
      <c r="C61" s="35"/>
    </row>
    <row r="62" spans="2:8" ht="15.75">
      <c r="B62" s="14" t="s">
        <v>62</v>
      </c>
      <c r="E62" s="21"/>
      <c r="H62" s="14" t="s">
        <v>63</v>
      </c>
    </row>
    <row r="63" spans="2:8" ht="15.75">
      <c r="B63" s="14" t="s">
        <v>64</v>
      </c>
      <c r="D63" s="33">
        <f>SUM(D7:D9)/0.4047*0.85*rates!$C$52*1.3333</f>
        <v>885.337866</v>
      </c>
      <c r="E63" s="16"/>
      <c r="G63" s="21"/>
      <c r="H63" s="14" t="s">
        <v>65</v>
      </c>
    </row>
    <row r="64" spans="2:5" ht="15.75">
      <c r="B64" s="14" t="s">
        <v>66</v>
      </c>
      <c r="D64" s="33">
        <f>D63*rates!$C$45</f>
        <v>2656.013598</v>
      </c>
      <c r="E64" s="16"/>
    </row>
    <row r="65" spans="2:6" ht="15.75">
      <c r="B65" s="14" t="s">
        <v>67</v>
      </c>
      <c r="F65" s="21">
        <f>1.9*D63+rates!$C$43*D64+F60</f>
        <v>39681.6769792431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0"/>
  <sheetViews>
    <sheetView zoomScalePageLayoutView="0" workbookViewId="0" topLeftCell="A1">
      <selection activeCell="B13" sqref="B13"/>
    </sheetView>
  </sheetViews>
  <sheetFormatPr defaultColWidth="10.375" defaultRowHeight="15.75"/>
  <cols>
    <col min="1" max="4" width="9.75390625" style="1" customWidth="1"/>
  </cols>
  <sheetData>
    <row r="1" spans="1:4" ht="15.75">
      <c r="A1" s="1" t="s">
        <v>68</v>
      </c>
      <c r="B1" s="1" t="s">
        <v>18</v>
      </c>
      <c r="D1" s="3">
        <f>(LandN!E9+LandN!E37)/LandN!E$46</f>
        <v>0.5821464856152415</v>
      </c>
    </row>
    <row r="2" spans="2:4" ht="15.75">
      <c r="B2" s="2" t="s">
        <v>157</v>
      </c>
      <c r="C2" s="2"/>
      <c r="D2" s="3">
        <f>LandN!E26/LandN!E$46</f>
        <v>0.05206911120090729</v>
      </c>
    </row>
    <row r="3" spans="2:4" ht="15.75">
      <c r="B3" s="2" t="s">
        <v>158</v>
      </c>
      <c r="C3" s="2"/>
      <c r="D3" s="3">
        <f>SUM(LandN!E10,LandN!E20,LandN!E30,LandN!E32:E33,LandN!E41)/LandN!E$46</f>
        <v>0.04623127547839621</v>
      </c>
    </row>
    <row r="4" spans="2:4" ht="15.75">
      <c r="B4" s="1" t="s">
        <v>69</v>
      </c>
      <c r="D4" s="3">
        <f>SUM(LandN!E16:E19)/LandN!E$46</f>
        <v>0.14642153459848734</v>
      </c>
    </row>
    <row r="5" spans="2:4" ht="15.75">
      <c r="B5" s="1" t="s">
        <v>70</v>
      </c>
      <c r="D5" s="3">
        <f>SUM(LandN!E11:E15,LandN!E21:E25,LandN!E34:E36,LandN!E38,LandN!E29,LandN!E31,LandN!E34)/LandN!E$46</f>
        <v>0.0850605511603284</v>
      </c>
    </row>
    <row r="6" spans="2:4" ht="15.75">
      <c r="B6" s="1" t="s">
        <v>71</v>
      </c>
      <c r="D6" s="3">
        <f>SUM(LandN!E7:E8,LandN!E27:E28,LandN!E39:E40)/LandN!E$46</f>
        <v>0.08807104194663913</v>
      </c>
    </row>
    <row r="7" spans="2:4" ht="15.75">
      <c r="B7" s="1" t="s">
        <v>72</v>
      </c>
      <c r="D7" s="3">
        <f>SUM(D1:D6)</f>
        <v>0.9999999999999999</v>
      </c>
    </row>
    <row r="10" spans="2:4" ht="15.75">
      <c r="B10" s="1" t="s">
        <v>73</v>
      </c>
      <c r="D10" s="3">
        <f>D4+D5+D6</f>
        <v>0.31955312770545485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7"/>
  <sheetViews>
    <sheetView zoomScalePageLayoutView="0" workbookViewId="0" topLeftCell="A14">
      <selection activeCell="A17" sqref="A17"/>
    </sheetView>
  </sheetViews>
  <sheetFormatPr defaultColWidth="10.375" defaultRowHeight="15.75"/>
  <cols>
    <col min="1" max="1" width="30.50390625" style="1" customWidth="1"/>
    <col min="2" max="2" width="9.75390625" style="9" customWidth="1"/>
    <col min="3" max="3" width="9.75390625" style="3" customWidth="1"/>
  </cols>
  <sheetData>
    <row r="1" spans="1:3" ht="15.75">
      <c r="A1" s="1" t="s">
        <v>74</v>
      </c>
      <c r="B1" s="9">
        <f>IF(LandN!D50&gt;0,LandN!D50-LandN!D57+(LandN!C50-LandN!C57)*rates!C53,LandN!D49-LandN!D57+(LandN!C49-LandN!C57)*rates!C53)*LandN!D48*rates!C43</f>
        <v>10770.102812717474</v>
      </c>
      <c r="C1" s="3">
        <f aca="true" t="shared" si="0" ref="C1:C7">B1/B$8</f>
        <v>0.3528280959868046</v>
      </c>
    </row>
    <row r="2" spans="1:3" ht="15.75">
      <c r="A2" s="1" t="s">
        <v>75</v>
      </c>
      <c r="B2" s="9">
        <f>IF(LandN!D50&gt;0,(LandN!D50+LandN!C50*rates!C53),(LandN!D49+LandN!C49*rates!C53))*(AVERAGE(rates!H12:H15)+rates!I14)</f>
        <v>2559.021374291093</v>
      </c>
      <c r="C2" s="3">
        <f t="shared" si="0"/>
        <v>0.08383342803510778</v>
      </c>
    </row>
    <row r="3" spans="1:3" ht="15.75">
      <c r="A3" s="1" t="s">
        <v>76</v>
      </c>
      <c r="B3" s="9">
        <f>SUM(LandN!F21:F22,LandN!F24,LandN!F44,LandN!E36)</f>
        <v>8826.709562</v>
      </c>
      <c r="C3" s="3">
        <f t="shared" si="0"/>
        <v>0.28916261829103096</v>
      </c>
    </row>
    <row r="4" spans="1:3" ht="15.75">
      <c r="A4" s="1" t="s">
        <v>77</v>
      </c>
      <c r="B4" s="9">
        <f>SUM(LandN!F7,LandN!F8,LandN!F27:F28,LandN!F39:F40)</f>
        <v>4070.9708915</v>
      </c>
      <c r="C4" s="3">
        <f t="shared" si="0"/>
        <v>0.13336482793549434</v>
      </c>
    </row>
    <row r="5" spans="1:3" ht="15.75">
      <c r="A5" s="1" t="s">
        <v>78</v>
      </c>
      <c r="B5" s="9">
        <f>LandN!F54</f>
        <v>11.592</v>
      </c>
      <c r="C5" s="3">
        <f t="shared" si="0"/>
        <v>0.0003797534118104736</v>
      </c>
    </row>
    <row r="6" spans="1:3" ht="15.75">
      <c r="A6" s="1" t="s">
        <v>79</v>
      </c>
      <c r="B6" s="9">
        <f>LandN!F55</f>
        <v>0</v>
      </c>
      <c r="C6" s="3">
        <f t="shared" si="0"/>
        <v>0</v>
      </c>
    </row>
    <row r="7" spans="1:3" ht="15.75">
      <c r="A7" s="1" t="s">
        <v>80</v>
      </c>
      <c r="B7" s="9">
        <f>SUM(LandN!F9:F15,+LandN!F23+LandN!F25+LandN!F45,LandN!F29,LandN!F31,LandN!F34:F35,LandN!F38)</f>
        <v>4286.6747334</v>
      </c>
      <c r="C7" s="3">
        <f t="shared" si="0"/>
        <v>0.14043127633975175</v>
      </c>
    </row>
    <row r="8" spans="1:3" ht="15.75">
      <c r="A8" s="1" t="s">
        <v>81</v>
      </c>
      <c r="B8" s="9">
        <f>SUM(B1:B7)</f>
        <v>30525.07137390857</v>
      </c>
      <c r="C8" s="3">
        <f>SUM(C1:C7)</f>
        <v>0.9999999999999999</v>
      </c>
    </row>
    <row r="10" spans="1:3" ht="15.75">
      <c r="A10" s="1" t="s">
        <v>82</v>
      </c>
      <c r="B10" s="9">
        <f>LandN!F59</f>
        <v>342.444495</v>
      </c>
      <c r="C10" s="3">
        <f>LandN!F59/LandN!F60</f>
        <v>0.011108121877302753</v>
      </c>
    </row>
    <row r="11" spans="1:3" ht="15.75">
      <c r="A11" s="1" t="s">
        <v>83</v>
      </c>
      <c r="B11" s="9">
        <f>(+LandN!F44+LandN!F24+LandN!D49*0.11)</f>
        <v>2385.336436086351</v>
      </c>
      <c r="C11" s="3">
        <f>(+LandN!F44+LandN!F24+LandN!D49*0.11)/LandN!$F$60</f>
        <v>0.07737489793906069</v>
      </c>
    </row>
    <row r="12" spans="1:3" ht="15.75">
      <c r="A12" s="1" t="s">
        <v>84</v>
      </c>
      <c r="B12" s="9">
        <f>LandN!F45</f>
        <v>1809.23</v>
      </c>
      <c r="C12" s="3">
        <f>LandN!F45/LandN!$F$60</f>
        <v>0.0586873132361858</v>
      </c>
    </row>
    <row r="14" ht="15.75">
      <c r="A14" s="1" t="s">
        <v>85</v>
      </c>
    </row>
    <row r="15" ht="15.75">
      <c r="A15" s="1" t="s">
        <v>86</v>
      </c>
    </row>
    <row r="16" spans="1:2" ht="15.75">
      <c r="A16" s="1" t="s">
        <v>180</v>
      </c>
      <c r="B16" s="8">
        <f>SUM(LandN!F16:F19)+LandN!F58</f>
        <v>13289.906637343096</v>
      </c>
    </row>
    <row r="17" spans="1:2" ht="15.75">
      <c r="A17" s="1" t="s">
        <v>87</v>
      </c>
      <c r="B17" s="8">
        <f>B1+B2</f>
        <v>13329.124187008567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53"/>
  <sheetViews>
    <sheetView zoomScalePageLayoutView="0" workbookViewId="0" topLeftCell="A1">
      <selection activeCell="C1" sqref="C1:C16384"/>
    </sheetView>
  </sheetViews>
  <sheetFormatPr defaultColWidth="10.375" defaultRowHeight="15.75"/>
  <cols>
    <col min="1" max="1" width="5.75390625" style="0" customWidth="1"/>
    <col min="2" max="2" width="31.25390625" style="10" customWidth="1"/>
    <col min="3" max="11" width="9.75390625" style="10" customWidth="1"/>
  </cols>
  <sheetData>
    <row r="1" spans="2:5" ht="15.75">
      <c r="B1" s="10" t="s">
        <v>88</v>
      </c>
      <c r="E1" s="10" t="s">
        <v>89</v>
      </c>
    </row>
    <row r="2" spans="3:5" ht="15.75">
      <c r="C2" s="43" t="s">
        <v>189</v>
      </c>
      <c r="D2" s="43" t="s">
        <v>188</v>
      </c>
      <c r="E2" s="10" t="s">
        <v>90</v>
      </c>
    </row>
    <row r="3" spans="1:6" ht="15.75">
      <c r="A3" s="14">
        <v>1</v>
      </c>
      <c r="B3" s="10" t="s">
        <v>91</v>
      </c>
      <c r="C3" s="11">
        <v>10.2</v>
      </c>
      <c r="D3" s="11">
        <f>C3*2.205/2.471</f>
        <v>9.10198300283286</v>
      </c>
      <c r="F3" s="10" t="s">
        <v>92</v>
      </c>
    </row>
    <row r="4" spans="1:6" ht="15.75">
      <c r="A4" s="14">
        <v>2</v>
      </c>
      <c r="B4" s="10" t="s">
        <v>93</v>
      </c>
      <c r="C4" s="11">
        <v>5</v>
      </c>
      <c r="D4" s="11">
        <f aca="true" t="shared" si="0" ref="D4:D42">C4*2.205/2.471</f>
        <v>4.461756373937677</v>
      </c>
      <c r="F4" s="10" t="s">
        <v>94</v>
      </c>
    </row>
    <row r="5" spans="1:8" ht="15.75">
      <c r="A5" s="14">
        <v>3</v>
      </c>
      <c r="B5" s="10" t="s">
        <v>95</v>
      </c>
      <c r="C5" s="6">
        <f>$E$5</f>
        <v>0.5</v>
      </c>
      <c r="D5" s="11">
        <f t="shared" si="0"/>
        <v>0.4461756373937677</v>
      </c>
      <c r="E5" s="10">
        <v>0.5</v>
      </c>
      <c r="F5" s="10" t="s">
        <v>181</v>
      </c>
      <c r="G5" s="10">
        <v>2</v>
      </c>
      <c r="H5" s="10" t="s">
        <v>96</v>
      </c>
    </row>
    <row r="6" spans="1:4" ht="15.75">
      <c r="A6" s="14">
        <v>4</v>
      </c>
      <c r="B6" s="10" t="s">
        <v>97</v>
      </c>
      <c r="C6" s="11">
        <v>0</v>
      </c>
      <c r="D6" s="11">
        <f t="shared" si="0"/>
        <v>0</v>
      </c>
    </row>
    <row r="7" spans="1:4" ht="15.75">
      <c r="A7" s="14">
        <v>5</v>
      </c>
      <c r="B7" s="10" t="s">
        <v>98</v>
      </c>
      <c r="C7" s="11">
        <v>7.57</v>
      </c>
      <c r="D7" s="11">
        <f t="shared" si="0"/>
        <v>6.7550991501416435</v>
      </c>
    </row>
    <row r="8" spans="1:17" ht="15.75">
      <c r="A8" s="14">
        <v>6</v>
      </c>
      <c r="B8" s="10" t="s">
        <v>99</v>
      </c>
      <c r="C8" s="6">
        <f>$E$5</f>
        <v>0.5</v>
      </c>
      <c r="D8" s="11">
        <f t="shared" si="0"/>
        <v>0.4461756373937677</v>
      </c>
      <c r="E8" s="12">
        <f>SUM(E8167,E8170,E8174:E8177,E8179,E8180)</f>
        <v>0</v>
      </c>
      <c r="N8" s="42" t="s">
        <v>182</v>
      </c>
      <c r="O8" s="42" t="s">
        <v>183</v>
      </c>
      <c r="P8" s="42" t="s">
        <v>183</v>
      </c>
      <c r="Q8" s="42" t="s">
        <v>182</v>
      </c>
    </row>
    <row r="9" spans="1:17" ht="15.75">
      <c r="A9" s="14">
        <v>7</v>
      </c>
      <c r="B9" s="10" t="s">
        <v>100</v>
      </c>
      <c r="C9" s="11">
        <v>29.3</v>
      </c>
      <c r="D9" s="11">
        <f t="shared" si="0"/>
        <v>26.145892351274785</v>
      </c>
      <c r="L9" s="10"/>
      <c r="M9" s="10" t="s">
        <v>101</v>
      </c>
      <c r="N9" s="42" t="s">
        <v>184</v>
      </c>
      <c r="O9" s="42" t="s">
        <v>184</v>
      </c>
      <c r="P9" s="42" t="s">
        <v>185</v>
      </c>
      <c r="Q9" s="42" t="s">
        <v>185</v>
      </c>
    </row>
    <row r="10" spans="1:17" ht="15.75">
      <c r="A10" s="14">
        <v>8</v>
      </c>
      <c r="B10" s="10" t="s">
        <v>102</v>
      </c>
      <c r="C10" s="11">
        <v>29.3</v>
      </c>
      <c r="D10" s="11">
        <f t="shared" si="0"/>
        <v>26.145892351274785</v>
      </c>
      <c r="J10" s="10" t="s">
        <v>103</v>
      </c>
      <c r="K10" s="10" t="s">
        <v>104</v>
      </c>
      <c r="L10" s="10" t="s">
        <v>105</v>
      </c>
      <c r="M10" s="10" t="s">
        <v>106</v>
      </c>
      <c r="N10" s="42" t="s">
        <v>186</v>
      </c>
      <c r="O10" s="42" t="s">
        <v>186</v>
      </c>
      <c r="P10" s="42" t="s">
        <v>186</v>
      </c>
      <c r="Q10" s="42" t="s">
        <v>186</v>
      </c>
    </row>
    <row r="11" spans="1:17" ht="15.75">
      <c r="A11" s="14">
        <v>9</v>
      </c>
      <c r="B11" s="10" t="s">
        <v>107</v>
      </c>
      <c r="C11" s="11">
        <v>7.57</v>
      </c>
      <c r="D11" s="11">
        <f t="shared" si="0"/>
        <v>6.7550991501416435</v>
      </c>
      <c r="F11" s="6" t="s">
        <v>108</v>
      </c>
      <c r="G11" s="6" t="s">
        <v>109</v>
      </c>
      <c r="H11" s="6" t="s">
        <v>110</v>
      </c>
      <c r="I11" s="6" t="s">
        <v>111</v>
      </c>
      <c r="J11" s="6" t="s">
        <v>112</v>
      </c>
      <c r="K11" s="10" t="s">
        <v>113</v>
      </c>
      <c r="L11" s="10"/>
      <c r="M11" s="10" t="s">
        <v>114</v>
      </c>
      <c r="N11" s="42" t="s">
        <v>187</v>
      </c>
      <c r="O11" s="42" t="s">
        <v>187</v>
      </c>
      <c r="P11" s="42" t="s">
        <v>187</v>
      </c>
      <c r="Q11" s="42" t="s">
        <v>187</v>
      </c>
    </row>
    <row r="12" spans="1:17" ht="15.75">
      <c r="A12" s="14">
        <v>10</v>
      </c>
      <c r="B12" s="10" t="s">
        <v>115</v>
      </c>
      <c r="C12" s="11">
        <f>$G12*($C$43*$C$45+$H12+$I12)</f>
        <v>106.46786468181818</v>
      </c>
      <c r="D12" s="11">
        <f t="shared" si="0"/>
        <v>95.00673477272727</v>
      </c>
      <c r="E12" s="11">
        <v>106.46640609205473</v>
      </c>
      <c r="F12" s="6">
        <v>5</v>
      </c>
      <c r="G12" s="6">
        <f>2.471*F12</f>
        <v>12.355</v>
      </c>
      <c r="H12" s="6">
        <f>7.5*0.6/2.2/5</f>
        <v>0.40909090909090906</v>
      </c>
      <c r="I12" s="6">
        <f>7.6*142.5/10000</f>
        <v>0.1083</v>
      </c>
      <c r="J12" s="6">
        <f>C12/G12</f>
        <v>8.61739090909091</v>
      </c>
      <c r="K12" s="10" t="e">
        <f>NA()</f>
        <v>#N/A</v>
      </c>
      <c r="L12" s="7" t="e">
        <f>NA()</f>
        <v>#N/A</v>
      </c>
      <c r="M12" s="6">
        <v>5</v>
      </c>
      <c r="N12" s="42">
        <v>0.513115909090909</v>
      </c>
      <c r="O12" s="42">
        <v>0.513115909090909</v>
      </c>
      <c r="P12" s="42">
        <v>6.339460206213356</v>
      </c>
      <c r="Q12" s="42">
        <v>6.339460206213356</v>
      </c>
    </row>
    <row r="13" spans="1:17" ht="15.75">
      <c r="A13" s="14">
        <v>11</v>
      </c>
      <c r="B13" s="10" t="s">
        <v>116</v>
      </c>
      <c r="C13" s="11">
        <f>$G13*($C$43*$C$45+$H13+$I13)</f>
        <v>83.64163714772728</v>
      </c>
      <c r="D13" s="11">
        <f t="shared" si="0"/>
        <v>74.63772153409091</v>
      </c>
      <c r="E13" s="11">
        <v>83.64049127299684</v>
      </c>
      <c r="F13" s="6">
        <v>3.75</v>
      </c>
      <c r="G13" s="6">
        <f>2.471*F13</f>
        <v>9.26625</v>
      </c>
      <c r="H13" s="6">
        <f>3*0.6/2.2</f>
        <v>0.818181818181818</v>
      </c>
      <c r="I13" s="6">
        <f>7.6*142.5/10000</f>
        <v>0.1083</v>
      </c>
      <c r="J13" s="6">
        <f>C13/G13</f>
        <v>9.02648181818182</v>
      </c>
      <c r="K13" s="10">
        <v>10000</v>
      </c>
      <c r="L13" s="7">
        <v>0.15</v>
      </c>
      <c r="M13" s="6">
        <f>43560*(1-L13)/K13</f>
        <v>3.7026</v>
      </c>
      <c r="N13" s="42">
        <v>0.922206818181818</v>
      </c>
      <c r="O13" s="42">
        <v>0.922206818181818</v>
      </c>
      <c r="P13" s="42">
        <v>8.545281858615809</v>
      </c>
      <c r="Q13" s="42">
        <v>8.545281858615809</v>
      </c>
    </row>
    <row r="14" spans="1:17" ht="15.75">
      <c r="A14" s="14">
        <v>12</v>
      </c>
      <c r="B14" s="10" t="s">
        <v>117</v>
      </c>
      <c r="C14" s="11">
        <f>$G14*($C$43*$C$45+$H14+$I14)</f>
        <v>51.809612756057675</v>
      </c>
      <c r="D14" s="11">
        <f t="shared" si="0"/>
        <v>46.232373989116624</v>
      </c>
      <c r="E14" s="11">
        <v>51.79772828357706</v>
      </c>
      <c r="F14" s="6">
        <v>2.19</v>
      </c>
      <c r="G14" s="6">
        <f>2.471*F14</f>
        <v>5.41149</v>
      </c>
      <c r="H14" s="6">
        <f>29.4*5000/107637</f>
        <v>1.365701385211405</v>
      </c>
      <c r="I14" s="6">
        <f>7.6*142.5/10000</f>
        <v>0.1083</v>
      </c>
      <c r="J14" s="6">
        <f>C14/G14</f>
        <v>9.574001385211407</v>
      </c>
      <c r="K14" s="10">
        <v>20000</v>
      </c>
      <c r="L14" s="7">
        <v>0.1</v>
      </c>
      <c r="M14" s="6">
        <f>43560*(1-L14)/K14</f>
        <v>1.9602</v>
      </c>
      <c r="N14" s="42">
        <v>1.4676613636363636</v>
      </c>
      <c r="O14" s="42">
        <v>1.4676613636363636</v>
      </c>
      <c r="P14" s="42">
        <v>7.942125985578542</v>
      </c>
      <c r="Q14" s="42">
        <v>7.942125985578542</v>
      </c>
    </row>
    <row r="15" spans="1:17" ht="15.75">
      <c r="A15" s="14">
        <v>13</v>
      </c>
      <c r="B15" s="10" t="s">
        <v>118</v>
      </c>
      <c r="C15" s="11">
        <f>$G15*($C$43*$C$45+$H15+$I15)</f>
        <v>24.598344944727277</v>
      </c>
      <c r="D15" s="11">
        <f t="shared" si="0"/>
        <v>21.950364469090914</v>
      </c>
      <c r="E15" s="11">
        <v>24.59800795201833</v>
      </c>
      <c r="F15" s="6">
        <v>1.04</v>
      </c>
      <c r="G15" s="6">
        <f>2.471*F15</f>
        <v>2.56984</v>
      </c>
      <c r="H15" s="6">
        <f>5*0.6/2.2</f>
        <v>1.3636363636363635</v>
      </c>
      <c r="I15" s="6">
        <f>7.6*142.5/10000</f>
        <v>0.1083</v>
      </c>
      <c r="J15" s="6">
        <f>C15/G15</f>
        <v>9.571936363636365</v>
      </c>
      <c r="K15" s="10">
        <v>40000</v>
      </c>
      <c r="L15" s="7">
        <v>0.1</v>
      </c>
      <c r="M15" s="6">
        <f>43560*(1-L15)/K15</f>
        <v>0.9801</v>
      </c>
      <c r="N15" s="42">
        <v>1.4676613636363636</v>
      </c>
      <c r="O15" s="42">
        <v>1.4676613636363636</v>
      </c>
      <c r="P15" s="42">
        <v>3.7716032077633264</v>
      </c>
      <c r="Q15" s="42">
        <v>3.7716032077633264</v>
      </c>
    </row>
    <row r="16" spans="1:4" ht="15.75">
      <c r="A16" s="14">
        <v>14</v>
      </c>
      <c r="B16" s="10" t="s">
        <v>119</v>
      </c>
      <c r="C16" s="10">
        <v>0</v>
      </c>
      <c r="D16" s="11">
        <f t="shared" si="0"/>
        <v>0</v>
      </c>
    </row>
    <row r="17" spans="1:4" ht="15.75">
      <c r="A17" s="14">
        <v>15</v>
      </c>
      <c r="B17" s="10" t="s">
        <v>120</v>
      </c>
      <c r="C17" s="10">
        <v>121</v>
      </c>
      <c r="D17" s="11">
        <f t="shared" si="0"/>
        <v>107.97450424929178</v>
      </c>
    </row>
    <row r="18" spans="1:4" ht="15.75">
      <c r="A18" s="14">
        <v>15</v>
      </c>
      <c r="B18" s="10" t="s">
        <v>121</v>
      </c>
      <c r="C18" s="10">
        <v>15.13</v>
      </c>
      <c r="D18" s="11">
        <f t="shared" si="0"/>
        <v>13.501274787535412</v>
      </c>
    </row>
    <row r="19" spans="1:4" ht="15.75">
      <c r="A19" s="14">
        <v>16</v>
      </c>
      <c r="B19" s="10" t="s">
        <v>122</v>
      </c>
      <c r="C19" s="10">
        <v>15.13</v>
      </c>
      <c r="D19" s="11">
        <f t="shared" si="0"/>
        <v>13.501274787535412</v>
      </c>
    </row>
    <row r="20" spans="1:4" ht="15.75">
      <c r="A20" s="14">
        <v>17</v>
      </c>
      <c r="B20" s="10" t="s">
        <v>123</v>
      </c>
      <c r="C20" s="6">
        <f>$E$5</f>
        <v>0.5</v>
      </c>
      <c r="D20" s="11">
        <f t="shared" si="0"/>
        <v>0.4461756373937677</v>
      </c>
    </row>
    <row r="21" spans="1:4" ht="15.75">
      <c r="A21" s="14">
        <v>18</v>
      </c>
      <c r="B21" s="10" t="s">
        <v>124</v>
      </c>
      <c r="C21" s="10">
        <v>15.13</v>
      </c>
      <c r="D21" s="11">
        <f t="shared" si="0"/>
        <v>13.501274787535412</v>
      </c>
    </row>
    <row r="22" spans="1:11" ht="15.75">
      <c r="A22" s="14">
        <v>19</v>
      </c>
      <c r="B22" s="10" t="s">
        <v>125</v>
      </c>
      <c r="C22" s="10">
        <v>15.13</v>
      </c>
      <c r="D22" s="11">
        <f t="shared" si="0"/>
        <v>13.501274787535412</v>
      </c>
      <c r="J22" s="4"/>
      <c r="K22" s="4"/>
    </row>
    <row r="23" spans="1:11" ht="15.75">
      <c r="A23" s="14">
        <v>20</v>
      </c>
      <c r="B23" s="10" t="s">
        <v>126</v>
      </c>
      <c r="C23" s="10">
        <v>0</v>
      </c>
      <c r="D23" s="11">
        <f t="shared" si="0"/>
        <v>0</v>
      </c>
      <c r="J23" s="4"/>
      <c r="K23" s="4"/>
    </row>
    <row r="24" spans="1:11" ht="15.75">
      <c r="A24" s="14">
        <v>21</v>
      </c>
      <c r="B24" s="10" t="s">
        <v>127</v>
      </c>
      <c r="C24" s="10">
        <v>22.93</v>
      </c>
      <c r="D24" s="6">
        <f t="shared" si="0"/>
        <v>20.46161473087819</v>
      </c>
      <c r="J24" s="4"/>
      <c r="K24" s="4"/>
    </row>
    <row r="25" spans="1:11" ht="15.75">
      <c r="A25" s="14">
        <v>23</v>
      </c>
      <c r="B25" s="14" t="s">
        <v>164</v>
      </c>
      <c r="C25" s="10">
        <v>17.6</v>
      </c>
      <c r="D25" s="11">
        <f t="shared" si="0"/>
        <v>15.705382436260626</v>
      </c>
      <c r="J25" s="4"/>
      <c r="K25" s="4"/>
    </row>
    <row r="26" spans="1:11" ht="15.75">
      <c r="A26" s="14">
        <v>24</v>
      </c>
      <c r="B26" s="14" t="s">
        <v>165</v>
      </c>
      <c r="C26" s="6">
        <f>$E$5</f>
        <v>0.5</v>
      </c>
      <c r="D26" s="11">
        <f t="shared" si="0"/>
        <v>0.4461756373937677</v>
      </c>
      <c r="J26" s="4"/>
      <c r="K26" s="4"/>
    </row>
    <row r="27" spans="1:11" ht="15.75">
      <c r="A27" s="14">
        <v>25</v>
      </c>
      <c r="B27" s="14" t="s">
        <v>166</v>
      </c>
      <c r="C27" s="10">
        <v>7.57</v>
      </c>
      <c r="D27" s="11">
        <f t="shared" si="0"/>
        <v>6.7550991501416435</v>
      </c>
      <c r="J27" s="4"/>
      <c r="K27" s="4"/>
    </row>
    <row r="28" spans="1:11" ht="15.75">
      <c r="A28" s="14">
        <v>26</v>
      </c>
      <c r="B28" s="14" t="s">
        <v>167</v>
      </c>
      <c r="C28" s="10">
        <v>29.3</v>
      </c>
      <c r="D28" s="11">
        <f t="shared" si="0"/>
        <v>26.145892351274785</v>
      </c>
      <c r="J28" s="4"/>
      <c r="K28" s="4"/>
    </row>
    <row r="29" spans="1:11" ht="15.75">
      <c r="A29" s="14">
        <v>27</v>
      </c>
      <c r="B29" s="14" t="s">
        <v>168</v>
      </c>
      <c r="C29" s="10">
        <v>0</v>
      </c>
      <c r="D29" s="11">
        <f t="shared" si="0"/>
        <v>0</v>
      </c>
      <c r="J29" s="4"/>
      <c r="K29" s="4"/>
    </row>
    <row r="30" spans="1:11" ht="15.75">
      <c r="A30" s="14">
        <v>28</v>
      </c>
      <c r="B30" s="14" t="s">
        <v>170</v>
      </c>
      <c r="C30" s="10">
        <v>0</v>
      </c>
      <c r="D30" s="11">
        <f t="shared" si="0"/>
        <v>0</v>
      </c>
      <c r="J30" s="4"/>
      <c r="K30" s="4"/>
    </row>
    <row r="31" spans="1:11" ht="15.75">
      <c r="A31" s="14">
        <v>29</v>
      </c>
      <c r="B31" s="14" t="s">
        <v>169</v>
      </c>
      <c r="C31" s="10">
        <v>7.57</v>
      </c>
      <c r="D31" s="11">
        <f t="shared" si="0"/>
        <v>6.7550991501416435</v>
      </c>
      <c r="J31" s="4"/>
      <c r="K31" s="4"/>
    </row>
    <row r="32" spans="1:11" ht="15.75">
      <c r="A32" s="14">
        <v>30</v>
      </c>
      <c r="B32" s="14" t="s">
        <v>171</v>
      </c>
      <c r="C32" s="10">
        <v>7.57</v>
      </c>
      <c r="D32" s="11">
        <f t="shared" si="0"/>
        <v>6.7550991501416435</v>
      </c>
      <c r="J32" s="4"/>
      <c r="K32" s="4"/>
    </row>
    <row r="33" spans="1:11" ht="15.75">
      <c r="A33" s="14">
        <v>31</v>
      </c>
      <c r="B33" s="14" t="s">
        <v>172</v>
      </c>
      <c r="C33" s="10">
        <v>15.13</v>
      </c>
      <c r="D33" s="11">
        <f t="shared" si="0"/>
        <v>13.501274787535412</v>
      </c>
      <c r="J33" s="4"/>
      <c r="K33" s="4"/>
    </row>
    <row r="34" spans="1:11" ht="15.75">
      <c r="A34" s="14">
        <v>32</v>
      </c>
      <c r="B34" s="14" t="s">
        <v>173</v>
      </c>
      <c r="C34" s="6">
        <f>$E$5</f>
        <v>0.5</v>
      </c>
      <c r="D34" s="11">
        <f t="shared" si="0"/>
        <v>0.4461756373937677</v>
      </c>
      <c r="J34" s="4"/>
      <c r="K34" s="4"/>
    </row>
    <row r="35" spans="1:11" ht="15.75">
      <c r="A35" s="14">
        <v>33</v>
      </c>
      <c r="B35" s="14" t="s">
        <v>174</v>
      </c>
      <c r="C35" s="10">
        <v>7.57</v>
      </c>
      <c r="D35" s="11">
        <f t="shared" si="0"/>
        <v>6.7550991501416435</v>
      </c>
      <c r="J35" s="4"/>
      <c r="K35" s="4"/>
    </row>
    <row r="36" spans="1:11" ht="15.75">
      <c r="A36" s="14">
        <v>34</v>
      </c>
      <c r="B36" s="14" t="s">
        <v>175</v>
      </c>
      <c r="C36" s="10">
        <v>10</v>
      </c>
      <c r="D36" s="11">
        <f t="shared" si="0"/>
        <v>8.923512747875353</v>
      </c>
      <c r="J36" s="4"/>
      <c r="K36" s="4"/>
    </row>
    <row r="37" spans="1:11" ht="15.75">
      <c r="A37" s="14">
        <v>35</v>
      </c>
      <c r="B37" s="14" t="s">
        <v>176</v>
      </c>
      <c r="C37" s="10">
        <v>20</v>
      </c>
      <c r="D37" s="11">
        <f t="shared" si="0"/>
        <v>17.847025495750707</v>
      </c>
      <c r="J37" s="4"/>
      <c r="K37" s="4"/>
    </row>
    <row r="38" spans="1:11" ht="15.75">
      <c r="A38" s="14">
        <v>36</v>
      </c>
      <c r="B38" s="14" t="s">
        <v>177</v>
      </c>
      <c r="C38" s="10">
        <v>0</v>
      </c>
      <c r="D38" s="11">
        <f t="shared" si="0"/>
        <v>0</v>
      </c>
      <c r="J38" s="4"/>
      <c r="K38" s="4"/>
    </row>
    <row r="39" spans="1:11" ht="15.75">
      <c r="A39" s="14" t="s">
        <v>178</v>
      </c>
      <c r="B39" s="14"/>
      <c r="D39" s="11">
        <f t="shared" si="0"/>
        <v>0</v>
      </c>
      <c r="J39" s="4"/>
      <c r="K39" s="4"/>
    </row>
    <row r="40" spans="1:11" ht="15.75">
      <c r="A40" s="14"/>
      <c r="B40" s="14" t="s">
        <v>179</v>
      </c>
      <c r="C40" s="10">
        <v>24.7</v>
      </c>
      <c r="D40" s="11">
        <f t="shared" si="0"/>
        <v>22.041076487252127</v>
      </c>
      <c r="J40" s="4"/>
      <c r="K40" s="4"/>
    </row>
    <row r="41" spans="1:11" ht="15.75">
      <c r="A41" s="14"/>
      <c r="B41" s="10" t="s">
        <v>128</v>
      </c>
      <c r="C41" s="10">
        <v>15.13</v>
      </c>
      <c r="D41" s="11">
        <f t="shared" si="0"/>
        <v>13.501274787535412</v>
      </c>
      <c r="J41" s="4"/>
      <c r="K41" s="4"/>
    </row>
    <row r="42" spans="1:11" ht="15.75">
      <c r="A42" s="14"/>
      <c r="B42" s="10" t="s">
        <v>129</v>
      </c>
      <c r="C42" s="10">
        <v>7.57</v>
      </c>
      <c r="D42" s="11">
        <f t="shared" si="0"/>
        <v>6.7550991501416435</v>
      </c>
      <c r="J42" s="4"/>
      <c r="K42" s="4"/>
    </row>
    <row r="43" spans="1:6" ht="15.75">
      <c r="A43" s="14"/>
      <c r="B43" s="10" t="s">
        <v>130</v>
      </c>
      <c r="C43" s="6">
        <v>2.7</v>
      </c>
      <c r="D43" s="11"/>
      <c r="E43" s="10" t="s">
        <v>131</v>
      </c>
      <c r="F43" s="11"/>
    </row>
    <row r="44" spans="1:4" ht="15.75">
      <c r="A44" s="14"/>
      <c r="B44" s="10" t="s">
        <v>132</v>
      </c>
      <c r="C44" s="11">
        <v>2.2</v>
      </c>
      <c r="D44" s="11"/>
    </row>
    <row r="45" spans="1:5" ht="15.75">
      <c r="A45" s="14"/>
      <c r="B45" s="10" t="s">
        <v>133</v>
      </c>
      <c r="C45" s="11">
        <v>3</v>
      </c>
      <c r="D45" s="11"/>
      <c r="E45" s="10" t="s">
        <v>134</v>
      </c>
    </row>
    <row r="46" spans="1:6" ht="15.75">
      <c r="A46" s="14"/>
      <c r="B46" s="10" t="s">
        <v>135</v>
      </c>
      <c r="C46" s="11">
        <v>3</v>
      </c>
      <c r="D46" s="11"/>
      <c r="E46" s="10" t="s">
        <v>136</v>
      </c>
      <c r="F46" s="11" t="s">
        <v>137</v>
      </c>
    </row>
    <row r="47" spans="1:7" ht="15.75">
      <c r="A47" s="14"/>
      <c r="B47" s="10" t="s">
        <v>138</v>
      </c>
      <c r="C47" s="6">
        <f>7.6*142.5/10000</f>
        <v>0.1083</v>
      </c>
      <c r="D47" s="11"/>
      <c r="E47" s="10" t="s">
        <v>112</v>
      </c>
      <c r="G47" s="10">
        <v>29.4</v>
      </c>
    </row>
    <row r="48" spans="1:5" ht="15.75">
      <c r="A48" s="14"/>
      <c r="B48" s="10" t="s">
        <v>139</v>
      </c>
      <c r="C48" s="11">
        <v>15.3</v>
      </c>
      <c r="D48" s="11"/>
      <c r="E48" s="10" t="s">
        <v>140</v>
      </c>
    </row>
    <row r="49" spans="1:5" ht="15.75">
      <c r="A49" s="14"/>
      <c r="B49" s="10" t="s">
        <v>141</v>
      </c>
      <c r="C49" s="11">
        <v>8</v>
      </c>
      <c r="D49" s="11"/>
      <c r="E49" s="10" t="s">
        <v>142</v>
      </c>
    </row>
    <row r="50" spans="1:4" ht="15.75">
      <c r="A50" s="14"/>
      <c r="B50" s="10" t="s">
        <v>143</v>
      </c>
      <c r="C50" s="11">
        <v>16.8</v>
      </c>
      <c r="D50" s="11"/>
    </row>
    <row r="51" spans="1:5" ht="15.75">
      <c r="A51" s="14"/>
      <c r="B51" s="10" t="s">
        <v>144</v>
      </c>
      <c r="C51" s="11">
        <v>0.81</v>
      </c>
      <c r="D51" s="11"/>
      <c r="E51" s="10" t="s">
        <v>145</v>
      </c>
    </row>
    <row r="52" spans="1:5" ht="15.75">
      <c r="A52" s="14"/>
      <c r="B52" s="10" t="s">
        <v>146</v>
      </c>
      <c r="C52" s="11">
        <v>0.5</v>
      </c>
      <c r="D52" s="11"/>
      <c r="E52" s="10" t="s">
        <v>147</v>
      </c>
    </row>
    <row r="53" spans="2:4" ht="15.75">
      <c r="B53" s="10" t="s">
        <v>148</v>
      </c>
      <c r="C53" s="10">
        <v>0.7</v>
      </c>
      <c r="D53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9"/>
  <sheetViews>
    <sheetView zoomScalePageLayoutView="0" workbookViewId="0" topLeftCell="A1">
      <selection activeCell="E3" sqref="E3"/>
    </sheetView>
  </sheetViews>
  <sheetFormatPr defaultColWidth="10.375" defaultRowHeight="15.75"/>
  <cols>
    <col min="1" max="1" width="27.25390625" style="5" customWidth="1"/>
  </cols>
  <sheetData>
    <row r="1" ht="15.75">
      <c r="A1" s="5" t="s">
        <v>149</v>
      </c>
    </row>
    <row r="3" ht="15.75">
      <c r="A3" s="5" t="s">
        <v>150</v>
      </c>
    </row>
    <row r="4" ht="15.75">
      <c r="A4" s="5" t="s">
        <v>151</v>
      </c>
    </row>
    <row r="5" ht="15.75">
      <c r="A5" s="5" t="s">
        <v>152</v>
      </c>
    </row>
    <row r="6" ht="15.75">
      <c r="A6" s="5" t="s">
        <v>153</v>
      </c>
    </row>
    <row r="7" ht="15.75">
      <c r="A7" s="5" t="s">
        <v>154</v>
      </c>
    </row>
    <row r="8" ht="15.75">
      <c r="A8" s="5" t="s">
        <v>155</v>
      </c>
    </row>
    <row r="9" ht="15.75">
      <c r="A9" s="5" t="s">
        <v>156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1999-10-28T21:19:11Z</dcterms:created>
  <dcterms:modified xsi:type="dcterms:W3CDTF">2011-10-24T17:56:41Z</dcterms:modified>
  <cp:category/>
  <cp:version/>
  <cp:contentType/>
  <cp:contentStatus/>
</cp:coreProperties>
</file>