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7470" windowHeight="4725" activeTab="0"/>
  </bookViews>
  <sheets>
    <sheet name="subdivision" sheetId="1" r:id="rId1"/>
    <sheet name="Commercial" sheetId="2" r:id="rId2"/>
    <sheet name="rates" sheetId="3" r:id="rId3"/>
  </sheets>
  <definedNames/>
  <calcPr fullCalcOnLoad="1"/>
</workbook>
</file>

<file path=xl/comments2.xml><?xml version="1.0" encoding="utf-8"?>
<comments xmlns="http://schemas.openxmlformats.org/spreadsheetml/2006/main">
  <authors>
    <author>j</author>
  </authors>
  <commentList>
    <comment ref="F6" authorId="0">
      <text>
        <r>
          <rPr>
            <b/>
            <sz val="8"/>
            <rFont val="Tahoma"/>
            <family val="0"/>
          </rPr>
          <t>ga/d x 365 d/y x 3.785 l/ga x .000001 g/kg x 2.2 lb/kg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<sst xmlns="http://schemas.openxmlformats.org/spreadsheetml/2006/main" count="172" uniqueCount="113">
  <si>
    <t>Loading</t>
  </si>
  <si>
    <t>rate (Kg/ha)</t>
  </si>
  <si>
    <t>Cropland</t>
  </si>
  <si>
    <t>Pasture</t>
  </si>
  <si>
    <t>Forest</t>
  </si>
  <si>
    <t>Spectator Recreation</t>
  </si>
  <si>
    <t>Cranberry Bog (part of #21</t>
  </si>
  <si>
    <t>ROADS (Kg/ha)</t>
  </si>
  <si>
    <t>EMBAYMENT SURF. DEPOSITION</t>
  </si>
  <si>
    <t>2 uM Background from Precipitation</t>
  </si>
  <si>
    <t>Other Loading Assumptions:</t>
  </si>
  <si>
    <t>average upper watershed attenuation factor</t>
  </si>
  <si>
    <t>average lower watershed attenuation</t>
  </si>
  <si>
    <t>comments</t>
  </si>
  <si>
    <t>average upper watershed transmission</t>
  </si>
  <si>
    <t>manually set</t>
  </si>
  <si>
    <t>average lower watershed transmission</t>
  </si>
  <si>
    <t>per capita N load</t>
  </si>
  <si>
    <t>kg/person</t>
  </si>
  <si>
    <t>2.7 kg default</t>
  </si>
  <si>
    <t>AVG Occupancy:</t>
  </si>
  <si>
    <t>persons/unit</t>
  </si>
  <si>
    <t>PLan Occupancy:</t>
  </si>
  <si>
    <t>Fert. Lawn</t>
  </si>
  <si>
    <t>drive way and road precip. Load</t>
  </si>
  <si>
    <t>acres</t>
  </si>
  <si>
    <t>lb/acre</t>
  </si>
  <si>
    <t>lots</t>
  </si>
  <si>
    <t>net lb/acre</t>
  </si>
  <si>
    <t>Total</t>
  </si>
  <si>
    <t>Subdivision area (land only)</t>
  </si>
  <si>
    <t>per/unit</t>
  </si>
  <si>
    <t>Road Length</t>
  </si>
  <si>
    <t>feet</t>
  </si>
  <si>
    <t>Subdivision Limit</t>
  </si>
  <si>
    <t>pounds</t>
  </si>
  <si>
    <t>pounds/acre</t>
  </si>
  <si>
    <t>sq. ft.</t>
  </si>
  <si>
    <t>persons</t>
  </si>
  <si>
    <t>loading factor</t>
  </si>
  <si>
    <t>Notes</t>
  </si>
  <si>
    <t>Sources</t>
  </si>
  <si>
    <t>gpd</t>
  </si>
  <si>
    <t>Total Bedrooms</t>
  </si>
  <si>
    <t>Bedrooms (average number)</t>
  </si>
  <si>
    <t>package facility discharge limit</t>
  </si>
  <si>
    <t>(true or false)</t>
  </si>
  <si>
    <t>ppm nitrogen</t>
  </si>
  <si>
    <t>Pounds/yr</t>
  </si>
  <si>
    <t>incl. additional 1000 sq. ft margin of error altered</t>
  </si>
  <si>
    <t>wetlands in subdivision</t>
  </si>
  <si>
    <t xml:space="preserve">Use Upper Watershed Attenuation </t>
  </si>
  <si>
    <t>Total Nitrogen Loading</t>
  </si>
  <si>
    <t>Total Nitrogen Loading to Bay</t>
  </si>
  <si>
    <t>effective net lb/acre</t>
  </si>
  <si>
    <t>coefficient</t>
  </si>
  <si>
    <t>assumed occupancy, planning</t>
  </si>
  <si>
    <t>Wastewater Treatment by Septic?</t>
  </si>
  <si>
    <t>avg lot size</t>
  </si>
  <si>
    <t>per bedroom</t>
  </si>
  <si>
    <t>Wetlands</t>
  </si>
  <si>
    <t>Golf Course</t>
  </si>
  <si>
    <t>= lb per capitata</t>
  </si>
  <si>
    <t>roof &amp; sidewalk precip load</t>
  </si>
  <si>
    <t>use this value</t>
  </si>
  <si>
    <t xml:space="preserve">units with conventional systems </t>
  </si>
  <si>
    <t>units with N removal systems</t>
  </si>
  <si>
    <t>use 0.5 for best rated systems</t>
  </si>
  <si>
    <t>per house</t>
  </si>
  <si>
    <t>estimated=</t>
  </si>
  <si>
    <t>unaltered upland on buidable parcels</t>
  </si>
  <si>
    <t>proposed greenspace not included above</t>
  </si>
  <si>
    <t>Buildable lots, 1 house per lot</t>
  </si>
  <si>
    <t>package facility design flow</t>
  </si>
  <si>
    <t>load based on planning occupancy, not design flow</t>
  </si>
  <si>
    <t>used only for estimated subdivision area</t>
  </si>
  <si>
    <t>enter actual in column D; C is predicted</t>
  </si>
  <si>
    <t>Nitrogen Limit Policy or Bylaw</t>
  </si>
  <si>
    <t>units</t>
  </si>
  <si>
    <t>Total onsite wastewater N</t>
  </si>
  <si>
    <t>not used</t>
  </si>
  <si>
    <t>driveway area, per lot and total</t>
  </si>
  <si>
    <t>sidewalks, per lot and total</t>
  </si>
  <si>
    <t>roof area, per lot and total</t>
  </si>
  <si>
    <t>lawn size, per lot and total</t>
  </si>
  <si>
    <t>other disturbed, per lot and total</t>
  </si>
  <si>
    <t>Alternative N removal factor</t>
  </si>
  <si>
    <t>Paved road width</t>
  </si>
  <si>
    <t>annual loading from community facility, load based on planning occupancy</t>
  </si>
  <si>
    <t>pounds per acre to receiving waters</t>
  </si>
  <si>
    <t>n loading from wetlands is zero (a sink)</t>
  </si>
  <si>
    <t>Parcel area-acres (land only)</t>
  </si>
  <si>
    <t>wastewater facility design flow</t>
  </si>
  <si>
    <t>wastewater facility expected flow</t>
  </si>
  <si>
    <t>facility discharge limit</t>
  </si>
  <si>
    <t>Paved areas, vehicle</t>
  </si>
  <si>
    <t>paved areas, sidewalk, nonvehicle</t>
  </si>
  <si>
    <t>roof area</t>
  </si>
  <si>
    <t>load based on expected flow, not design flow</t>
  </si>
  <si>
    <t>lawn area square feet</t>
  </si>
  <si>
    <t>other disturbed, mulched etc.</t>
  </si>
  <si>
    <t xml:space="preserve">wetlands </t>
  </si>
  <si>
    <t>enter values in yellow shaded boxes</t>
  </si>
  <si>
    <t>report errors to jcosta@buzzardsbay.org</t>
  </si>
  <si>
    <t>set by policy or regulation, should be higher than actual</t>
  </si>
  <si>
    <t>Septic Systems</t>
  </si>
  <si>
    <t>Roads</t>
  </si>
  <si>
    <t>Other impervious</t>
  </si>
  <si>
    <t>Lawns</t>
  </si>
  <si>
    <t>Undisturbed area</t>
  </si>
  <si>
    <t>Corrected; not halved on the assumption that only half of property owners fertilize</t>
  </si>
  <si>
    <t>Buzzards Bay Project Commercial Developemnet Worksheet DRAFT -10/14/2011</t>
  </si>
  <si>
    <t>Buzzards Bay Project Subdivision worksheet -october 14,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</si>
</sst>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0.000"/>
    <numFmt numFmtId="167" formatCode="0.0000000000000"/>
    <numFmt numFmtId="168" formatCode="0.0%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.75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164" fontId="3" fillId="33" borderId="0" xfId="0" applyNumberFormat="1" applyFont="1" applyFill="1" applyAlignment="1">
      <alignment/>
    </xf>
    <xf numFmtId="0" fontId="3" fillId="34" borderId="10" xfId="0" applyFont="1" applyFill="1" applyBorder="1" applyAlignment="1">
      <alignment/>
    </xf>
    <xf numFmtId="164" fontId="3" fillId="34" borderId="10" xfId="0" applyNumberFormat="1" applyFont="1" applyFill="1" applyBorder="1" applyAlignment="1">
      <alignment/>
    </xf>
    <xf numFmtId="0" fontId="3" fillId="35" borderId="10" xfId="0" applyFont="1" applyFill="1" applyBorder="1" applyAlignment="1" applyProtection="1">
      <alignment/>
      <protection locked="0"/>
    </xf>
    <xf numFmtId="164" fontId="3" fillId="35" borderId="10" xfId="0" applyNumberFormat="1" applyFont="1" applyFill="1" applyBorder="1" applyAlignment="1" applyProtection="1">
      <alignment horizontal="right"/>
      <protection locked="0"/>
    </xf>
    <xf numFmtId="164" fontId="3" fillId="35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2" fontId="1" fillId="0" borderId="11" xfId="0" applyNumberFormat="1" applyFont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2" fontId="0" fillId="35" borderId="11" xfId="0" applyNumberFormat="1" applyFont="1" applyFill="1" applyBorder="1" applyAlignment="1" applyProtection="1">
      <alignment horizontal="right"/>
      <protection/>
    </xf>
    <xf numFmtId="2" fontId="0" fillId="0" borderId="11" xfId="0" applyNumberFormat="1" applyFont="1" applyBorder="1" applyAlignment="1" applyProtection="1">
      <alignment horizontal="right"/>
      <protection/>
    </xf>
    <xf numFmtId="166" fontId="0" fillId="0" borderId="0" xfId="0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2" fontId="0" fillId="36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 applyProtection="1" quotePrefix="1">
      <alignment/>
      <protection/>
    </xf>
    <xf numFmtId="0" fontId="3" fillId="35" borderId="10" xfId="0" applyFont="1" applyFill="1" applyBorder="1" applyAlignment="1" applyProtection="1">
      <alignment horizontal="right"/>
      <protection locked="0"/>
    </xf>
    <xf numFmtId="164" fontId="3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2" fontId="3" fillId="0" borderId="0" xfId="0" applyNumberFormat="1" applyFont="1" applyAlignment="1">
      <alignment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164" fontId="3" fillId="0" borderId="0" xfId="0" applyNumberFormat="1" applyFont="1" applyAlignment="1" applyProtection="1">
      <alignment horizontal="left"/>
      <protection/>
    </xf>
    <xf numFmtId="0" fontId="3" fillId="36" borderId="10" xfId="0" applyFont="1" applyFill="1" applyBorder="1" applyAlignment="1" applyProtection="1">
      <alignment/>
      <protection/>
    </xf>
    <xf numFmtId="164" fontId="3" fillId="36" borderId="10" xfId="0" applyNumberFormat="1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164" fontId="3" fillId="33" borderId="0" xfId="0" applyNumberFormat="1" applyFont="1" applyFill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164" fontId="3" fillId="34" borderId="10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68" fontId="3" fillId="0" borderId="0" xfId="0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Nitrogen Loading 
From New Subdivisions</a:t>
            </a:r>
          </a:p>
        </c:rich>
      </c:tx>
      <c:layout>
        <c:manualLayout>
          <c:xMode val="factor"/>
          <c:yMode val="factor"/>
          <c:x val="0.302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75"/>
          <c:y val="0.26925"/>
          <c:w val="0.44"/>
          <c:h val="0.64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25400">
                  <a:solidFill>
                    <a:srgbClr val="000000"/>
                  </a:solidFill>
                </a:ln>
              </c:spPr>
            </c:leaderLines>
          </c:dLbls>
          <c:cat>
            <c:strRef>
              <c:f>subdivision!$G$34:$G$38</c:f>
              <c:strCache/>
            </c:strRef>
          </c:cat>
          <c:val>
            <c:numRef>
              <c:f>subdivision!$H$34:$H$38</c:f>
              <c:numCache/>
            </c:numRef>
          </c:val>
        </c:ser>
        <c:firstSliceAng val="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0.70025</cdr:x>
      <cdr:y>0.3815</cdr:y>
    </cdr:from>
    <cdr:to>
      <cdr:x>0.971</cdr:x>
      <cdr:y>0.811</cdr:y>
    </cdr:to>
    <cdr:sp>
      <cdr:nvSpPr>
        <cdr:cNvPr id="1" name="Text Box 1"/>
        <cdr:cNvSpPr txBox="1">
          <a:spLocks noChangeArrowheads="1"/>
        </cdr:cNvSpPr>
      </cdr:nvSpPr>
      <cdr:spPr>
        <a:xfrm>
          <a:off x="3238500" y="1295400"/>
          <a:ext cx="1257300" cy="1457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Assumptions: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44 acre subdivision,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acre zoning,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 units,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person occupancy,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5000 sq. ft lawns,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BBP Loading Model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39</xdr:row>
      <xdr:rowOff>142875</xdr:rowOff>
    </xdr:from>
    <xdr:to>
      <xdr:col>12</xdr:col>
      <xdr:colOff>419100</xdr:colOff>
      <xdr:row>60</xdr:row>
      <xdr:rowOff>142875</xdr:rowOff>
    </xdr:to>
    <xdr:graphicFrame>
      <xdr:nvGraphicFramePr>
        <xdr:cNvPr id="1" name="Chart 1"/>
        <xdr:cNvGraphicFramePr/>
      </xdr:nvGraphicFramePr>
      <xdr:xfrm>
        <a:off x="4305300" y="6096000"/>
        <a:ext cx="4629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K10" sqref="K10"/>
    </sheetView>
  </sheetViews>
  <sheetFormatPr defaultColWidth="8.8515625" defaultRowHeight="12.75"/>
  <cols>
    <col min="1" max="1" width="25.57421875" style="29" customWidth="1"/>
    <col min="2" max="2" width="8.7109375" style="29" customWidth="1"/>
    <col min="3" max="3" width="10.421875" style="29" customWidth="1"/>
    <col min="4" max="4" width="5.7109375" style="29" customWidth="1"/>
    <col min="5" max="5" width="6.28125" style="29" customWidth="1"/>
    <col min="6" max="6" width="7.28125" style="30" customWidth="1"/>
    <col min="7" max="7" width="19.421875" style="29" customWidth="1"/>
    <col min="8" max="16384" width="8.8515625" style="29" customWidth="1"/>
  </cols>
  <sheetData>
    <row r="1" spans="1:7" ht="12">
      <c r="A1" s="28" t="s">
        <v>112</v>
      </c>
      <c r="G1" s="43" t="s">
        <v>103</v>
      </c>
    </row>
    <row r="2" spans="1:7" ht="12">
      <c r="A2" s="31" t="s">
        <v>41</v>
      </c>
      <c r="B2" s="32"/>
      <c r="C2" s="32"/>
      <c r="D2" s="33" t="s">
        <v>29</v>
      </c>
      <c r="E2" s="33"/>
      <c r="F2" s="34" t="s">
        <v>48</v>
      </c>
      <c r="G2" s="35" t="s">
        <v>40</v>
      </c>
    </row>
    <row r="3" spans="1:7" ht="12">
      <c r="A3" s="29" t="s">
        <v>30</v>
      </c>
      <c r="B3" s="32" t="s">
        <v>69</v>
      </c>
      <c r="C3" s="36">
        <f>B4*B5/43560*1.25+D26</f>
        <v>44.1919191919192</v>
      </c>
      <c r="D3" s="13">
        <v>44</v>
      </c>
      <c r="E3" s="29" t="s">
        <v>25</v>
      </c>
      <c r="G3" s="29" t="s">
        <v>76</v>
      </c>
    </row>
    <row r="4" spans="1:3" ht="12">
      <c r="A4" s="29" t="s">
        <v>72</v>
      </c>
      <c r="B4" s="23">
        <v>35</v>
      </c>
      <c r="C4" s="29" t="s">
        <v>27</v>
      </c>
    </row>
    <row r="5" spans="1:7" ht="12">
      <c r="A5" s="29" t="s">
        <v>58</v>
      </c>
      <c r="B5" s="11">
        <v>44000</v>
      </c>
      <c r="C5" s="29" t="s">
        <v>37</v>
      </c>
      <c r="D5" s="30"/>
      <c r="G5" s="29" t="s">
        <v>75</v>
      </c>
    </row>
    <row r="6" spans="1:4" ht="12">
      <c r="A6" s="29" t="s">
        <v>44</v>
      </c>
      <c r="B6" s="11">
        <v>4</v>
      </c>
      <c r="C6" s="29" t="s">
        <v>68</v>
      </c>
      <c r="D6" s="30"/>
    </row>
    <row r="7" spans="1:4" ht="12">
      <c r="A7" s="29" t="s">
        <v>43</v>
      </c>
      <c r="B7" s="37">
        <f>B6*B4</f>
        <v>140</v>
      </c>
      <c r="D7" s="30"/>
    </row>
    <row r="8" spans="1:7" ht="12">
      <c r="A8" s="29" t="s">
        <v>56</v>
      </c>
      <c r="B8" s="11">
        <v>1</v>
      </c>
      <c r="C8" s="29" t="s">
        <v>59</v>
      </c>
      <c r="D8" s="30"/>
      <c r="G8" s="29" t="s">
        <v>104</v>
      </c>
    </row>
    <row r="9" spans="1:3" ht="12">
      <c r="A9" s="29" t="s">
        <v>56</v>
      </c>
      <c r="B9" s="38">
        <v>3</v>
      </c>
      <c r="C9" s="29" t="s">
        <v>31</v>
      </c>
    </row>
    <row r="10" spans="1:3" ht="12">
      <c r="A10" s="29" t="s">
        <v>57</v>
      </c>
      <c r="B10" s="12" t="b">
        <v>1</v>
      </c>
      <c r="C10" s="29" t="s">
        <v>46</v>
      </c>
    </row>
    <row r="11" spans="1:6" ht="12">
      <c r="A11" s="29" t="s">
        <v>65</v>
      </c>
      <c r="B11" s="13">
        <v>35</v>
      </c>
      <c r="C11" s="29" t="s">
        <v>78</v>
      </c>
      <c r="D11" s="30">
        <f>B$9*B11</f>
        <v>105</v>
      </c>
      <c r="E11" s="29" t="s">
        <v>38</v>
      </c>
      <c r="F11" s="30">
        <f>D11*rates!$F$19</f>
        <v>623.7000000000002</v>
      </c>
    </row>
    <row r="12" spans="1:6" ht="12">
      <c r="A12" s="29" t="s">
        <v>66</v>
      </c>
      <c r="B12" s="13">
        <v>0</v>
      </c>
      <c r="C12" s="29" t="s">
        <v>78</v>
      </c>
      <c r="D12" s="30">
        <f>B$9*B12</f>
        <v>0</v>
      </c>
      <c r="E12" s="29" t="s">
        <v>38</v>
      </c>
      <c r="F12" s="30">
        <f>D12*rates!$F$19*B13</f>
        <v>0</v>
      </c>
    </row>
    <row r="13" spans="1:7" ht="12">
      <c r="A13" s="29" t="s">
        <v>86</v>
      </c>
      <c r="B13" s="13">
        <v>0.5</v>
      </c>
      <c r="C13" s="29" t="s">
        <v>39</v>
      </c>
      <c r="D13" s="30"/>
      <c r="G13" s="29" t="s">
        <v>67</v>
      </c>
    </row>
    <row r="14" spans="1:6" ht="12">
      <c r="A14" s="29" t="s">
        <v>79</v>
      </c>
      <c r="B14" s="13"/>
      <c r="F14" s="30">
        <f>IF(B10,F11+F12,"")</f>
        <v>623.7000000000002</v>
      </c>
    </row>
    <row r="15" spans="1:7" ht="12">
      <c r="A15" s="29" t="s">
        <v>73</v>
      </c>
      <c r="B15" s="37">
        <f>B4*B6*110</f>
        <v>15400</v>
      </c>
      <c r="C15" s="29" t="s">
        <v>42</v>
      </c>
      <c r="D15" s="30"/>
      <c r="G15" s="29" t="s">
        <v>74</v>
      </c>
    </row>
    <row r="16" spans="1:7" ht="12">
      <c r="A16" s="29" t="s">
        <v>45</v>
      </c>
      <c r="B16" s="11">
        <v>5</v>
      </c>
      <c r="C16" s="29" t="s">
        <v>47</v>
      </c>
      <c r="D16" s="30"/>
      <c r="F16" s="30">
        <f>IF((B10=FALSE),B15*(B8/2)*365*3.785*B16/1000000*2.204,"")</f>
      </c>
      <c r="G16" s="29" t="s">
        <v>88</v>
      </c>
    </row>
    <row r="17" spans="1:4" ht="12">
      <c r="A17" s="29" t="s">
        <v>32</v>
      </c>
      <c r="B17" s="11">
        <v>5200</v>
      </c>
      <c r="C17" s="29" t="s">
        <v>33</v>
      </c>
      <c r="D17" s="30"/>
    </row>
    <row r="18" spans="1:6" ht="12">
      <c r="A18" s="29" t="s">
        <v>87</v>
      </c>
      <c r="B18" s="11">
        <v>20</v>
      </c>
      <c r="D18" s="30">
        <f>B$17*B18/43560</f>
        <v>2.3875114784205693</v>
      </c>
      <c r="E18" s="29" t="s">
        <v>25</v>
      </c>
      <c r="F18" s="30">
        <f>D18*rates!C$24</f>
        <v>32.16179515151515</v>
      </c>
    </row>
    <row r="19" spans="1:6" ht="12">
      <c r="A19" s="29" t="s">
        <v>81</v>
      </c>
      <c r="B19" s="11">
        <v>2100</v>
      </c>
      <c r="C19" s="29" t="s">
        <v>37</v>
      </c>
      <c r="D19" s="30">
        <f>B19*B$4/43560</f>
        <v>1.68732782369146</v>
      </c>
      <c r="E19" s="29" t="s">
        <v>25</v>
      </c>
      <c r="F19" s="30">
        <f>D19*rates!C$24</f>
        <v>22.729730227272725</v>
      </c>
    </row>
    <row r="20" spans="1:6" ht="12">
      <c r="A20" s="29" t="s">
        <v>82</v>
      </c>
      <c r="B20" s="11">
        <v>745</v>
      </c>
      <c r="C20" s="29" t="s">
        <v>37</v>
      </c>
      <c r="D20" s="30">
        <f>B20*B$4/43560</f>
        <v>0.5985996326905417</v>
      </c>
      <c r="E20" s="29" t="s">
        <v>25</v>
      </c>
      <c r="F20" s="30">
        <f>D20*rates!C$23</f>
        <v>4.034485981060607</v>
      </c>
    </row>
    <row r="21" spans="1:6" ht="12">
      <c r="A21" s="29" t="s">
        <v>83</v>
      </c>
      <c r="B21" s="11">
        <v>3300</v>
      </c>
      <c r="C21" s="29" t="s">
        <v>37</v>
      </c>
      <c r="D21" s="30">
        <f>B21*B$4/43560</f>
        <v>2.6515151515151514</v>
      </c>
      <c r="E21" s="29" t="s">
        <v>25</v>
      </c>
      <c r="F21" s="30">
        <f>D21*rates!C$23</f>
        <v>17.870877500000002</v>
      </c>
    </row>
    <row r="22" spans="1:6" ht="12">
      <c r="A22" s="29" t="s">
        <v>84</v>
      </c>
      <c r="B22" s="11">
        <v>5000</v>
      </c>
      <c r="D22" s="30">
        <f>B$4*B22/43560</f>
        <v>4.017447199265381</v>
      </c>
      <c r="E22" s="29" t="s">
        <v>25</v>
      </c>
      <c r="F22" s="30">
        <f>D22*rates!C$22</f>
        <v>37.804178145087235</v>
      </c>
    </row>
    <row r="23" spans="1:6" ht="12">
      <c r="A23" s="29" t="s">
        <v>85</v>
      </c>
      <c r="B23" s="11">
        <v>1000</v>
      </c>
      <c r="C23" s="29" t="s">
        <v>37</v>
      </c>
      <c r="D23" s="30">
        <f>B23*B$4/43560</f>
        <v>0.8034894398530762</v>
      </c>
      <c r="E23" s="29" t="s">
        <v>25</v>
      </c>
      <c r="F23" s="30">
        <f>D23*rates!C$23</f>
        <v>5.415417424242426</v>
      </c>
    </row>
    <row r="24" spans="1:7" ht="12">
      <c r="A24" s="29" t="s">
        <v>50</v>
      </c>
      <c r="B24" s="13">
        <v>0</v>
      </c>
      <c r="C24" s="29" t="s">
        <v>25</v>
      </c>
      <c r="D24" s="30">
        <f>B24</f>
        <v>0</v>
      </c>
      <c r="F24" s="30">
        <v>0</v>
      </c>
      <c r="G24" s="29" t="s">
        <v>90</v>
      </c>
    </row>
    <row r="25" spans="1:7" ht="12">
      <c r="A25" s="29" t="s">
        <v>70</v>
      </c>
      <c r="D25" s="30">
        <f>D3-SUM(D19:D23)-D24</f>
        <v>34.24162075298439</v>
      </c>
      <c r="E25" s="29" t="s">
        <v>25</v>
      </c>
      <c r="F25" s="30">
        <f>D25*rates!C$5</f>
        <v>15.24313347967739</v>
      </c>
      <c r="G25" s="29" t="s">
        <v>49</v>
      </c>
    </row>
    <row r="26" spans="1:6" ht="12">
      <c r="A26" s="29" t="s">
        <v>71</v>
      </c>
      <c r="D26" s="13"/>
      <c r="E26" s="29" t="s">
        <v>25</v>
      </c>
      <c r="F26" s="30">
        <f>D26*rates!C$5</f>
        <v>0</v>
      </c>
    </row>
    <row r="27" spans="1:6" ht="12">
      <c r="A27" s="39" t="s">
        <v>52</v>
      </c>
      <c r="B27" s="39"/>
      <c r="C27" s="39"/>
      <c r="D27" s="39"/>
      <c r="E27" s="39"/>
      <c r="F27" s="40">
        <f>SUM(F14:F26)</f>
        <v>758.9596179088555</v>
      </c>
    </row>
    <row r="28" spans="1:6" ht="12">
      <c r="A28" s="39" t="s">
        <v>28</v>
      </c>
      <c r="B28" s="39"/>
      <c r="C28" s="39"/>
      <c r="D28" s="39"/>
      <c r="E28" s="39"/>
      <c r="F28" s="40">
        <f>F27/D3</f>
        <v>17.249082225201263</v>
      </c>
    </row>
    <row r="29" spans="1:5" ht="12">
      <c r="A29" s="29" t="s">
        <v>51</v>
      </c>
      <c r="B29" s="29" t="b">
        <v>1</v>
      </c>
      <c r="D29" s="29">
        <v>0.7</v>
      </c>
      <c r="E29" s="29" t="s">
        <v>55</v>
      </c>
    </row>
    <row r="30" spans="1:7" ht="12">
      <c r="A30" s="41" t="s">
        <v>53</v>
      </c>
      <c r="F30" s="42">
        <f>IF(B$29,F27*D$29,F27)</f>
        <v>531.2717325361989</v>
      </c>
      <c r="G30" s="29" t="s">
        <v>64</v>
      </c>
    </row>
    <row r="31" spans="1:7" ht="12">
      <c r="A31" s="41" t="s">
        <v>54</v>
      </c>
      <c r="F31" s="42">
        <f>IF(B$29,F28*D$29,F28)</f>
        <v>12.074357557640884</v>
      </c>
      <c r="G31" s="29" t="s">
        <v>89</v>
      </c>
    </row>
    <row r="33" spans="1:3" ht="12">
      <c r="A33" s="29" t="s">
        <v>77</v>
      </c>
      <c r="B33" s="11">
        <v>7.5</v>
      </c>
      <c r="C33" s="29" t="s">
        <v>36</v>
      </c>
    </row>
    <row r="34" spans="1:9" ht="12">
      <c r="A34" s="29" t="s">
        <v>34</v>
      </c>
      <c r="B34" s="30">
        <f>D3*B33</f>
        <v>330</v>
      </c>
      <c r="C34" s="29" t="s">
        <v>35</v>
      </c>
      <c r="G34" s="29" t="s">
        <v>105</v>
      </c>
      <c r="H34" s="30">
        <f>F14</f>
        <v>623.7000000000002</v>
      </c>
      <c r="I34" s="44">
        <f>H34/H$39</f>
        <v>0.8276886738679581</v>
      </c>
    </row>
    <row r="35" spans="7:9" ht="12">
      <c r="G35" s="29" t="s">
        <v>106</v>
      </c>
      <c r="H35" s="30">
        <f>F18</f>
        <v>32.16179515151515</v>
      </c>
      <c r="I35" s="44">
        <f>H35/H$39</f>
        <v>0.04268070158436827</v>
      </c>
    </row>
    <row r="36" spans="1:9" ht="12">
      <c r="A36" s="5" t="s">
        <v>102</v>
      </c>
      <c r="G36" s="29" t="s">
        <v>107</v>
      </c>
      <c r="H36" s="30">
        <f>SUM(F19:F21)</f>
        <v>44.63509370833333</v>
      </c>
      <c r="I36" s="44">
        <f>H36/H$39</f>
        <v>0.059233544203018185</v>
      </c>
    </row>
    <row r="37" spans="7:9" ht="12">
      <c r="G37" s="29" t="s">
        <v>108</v>
      </c>
      <c r="H37" s="30">
        <f>F22</f>
        <v>37.804178145087235</v>
      </c>
      <c r="I37" s="44">
        <f>H37/H$39</f>
        <v>0.05016849458966697</v>
      </c>
    </row>
    <row r="38" spans="7:9" ht="12">
      <c r="G38" s="29" t="s">
        <v>109</v>
      </c>
      <c r="H38" s="30">
        <f>F25</f>
        <v>15.24313347967739</v>
      </c>
      <c r="I38" s="44">
        <f>H38/H$39</f>
        <v>0.020228585754988693</v>
      </c>
    </row>
    <row r="39" spans="7:8" ht="12">
      <c r="G39" s="29" t="s">
        <v>29</v>
      </c>
      <c r="H39" s="30">
        <f>SUM(H34:H38)</f>
        <v>753.5442004846132</v>
      </c>
    </row>
  </sheetData>
  <sheetProtection/>
  <printOptions/>
  <pageMargins left="0.5" right="0.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C12" sqref="C12"/>
    </sheetView>
  </sheetViews>
  <sheetFormatPr defaultColWidth="8.8515625" defaultRowHeight="12.75"/>
  <cols>
    <col min="1" max="1" width="25.57421875" style="5" customWidth="1"/>
    <col min="2" max="2" width="8.7109375" style="5" customWidth="1"/>
    <col min="3" max="3" width="10.421875" style="5" customWidth="1"/>
    <col min="4" max="4" width="5.7109375" style="5" customWidth="1"/>
    <col min="5" max="5" width="6.28125" style="5" customWidth="1"/>
    <col min="6" max="6" width="7.28125" style="6" customWidth="1"/>
    <col min="7" max="7" width="19.421875" style="5" customWidth="1"/>
    <col min="8" max="16384" width="8.8515625" style="5" customWidth="1"/>
  </cols>
  <sheetData>
    <row r="1" spans="1:7" ht="12">
      <c r="A1" s="25" t="s">
        <v>111</v>
      </c>
      <c r="G1" s="43" t="s">
        <v>103</v>
      </c>
    </row>
    <row r="2" spans="1:7" ht="12">
      <c r="A2" s="1" t="s">
        <v>41</v>
      </c>
      <c r="B2" s="2"/>
      <c r="C2" s="2"/>
      <c r="D2" s="3" t="s">
        <v>29</v>
      </c>
      <c r="E2" s="3"/>
      <c r="F2" s="4" t="s">
        <v>48</v>
      </c>
      <c r="G2" s="26" t="s">
        <v>40</v>
      </c>
    </row>
    <row r="3" spans="1:7" ht="12">
      <c r="A3" s="5" t="s">
        <v>91</v>
      </c>
      <c r="B3" s="2"/>
      <c r="C3" s="24"/>
      <c r="D3" s="13">
        <v>15</v>
      </c>
      <c r="E3" s="5" t="s">
        <v>25</v>
      </c>
      <c r="G3" s="5" t="s">
        <v>76</v>
      </c>
    </row>
    <row r="4" spans="1:4" ht="12">
      <c r="A4" s="5" t="s">
        <v>92</v>
      </c>
      <c r="B4" s="11">
        <v>9500</v>
      </c>
      <c r="C4" s="5" t="s">
        <v>42</v>
      </c>
      <c r="D4" s="6"/>
    </row>
    <row r="5" spans="1:7" ht="12">
      <c r="A5" s="5" t="s">
        <v>93</v>
      </c>
      <c r="B5" s="11">
        <v>5000</v>
      </c>
      <c r="C5" s="5" t="s">
        <v>42</v>
      </c>
      <c r="D5" s="6"/>
      <c r="G5" s="5" t="s">
        <v>98</v>
      </c>
    </row>
    <row r="6" spans="1:7" ht="12">
      <c r="A6" s="5" t="s">
        <v>94</v>
      </c>
      <c r="B6" s="11">
        <v>10</v>
      </c>
      <c r="C6" s="5" t="s">
        <v>47</v>
      </c>
      <c r="D6" s="6"/>
      <c r="F6" s="6">
        <f>B5*365*3.785*B6/1000000*2.204</f>
        <v>152.244055</v>
      </c>
      <c r="G6" s="5" t="s">
        <v>88</v>
      </c>
    </row>
    <row r="7" spans="1:6" ht="12">
      <c r="A7" s="5" t="s">
        <v>95</v>
      </c>
      <c r="B7" s="11">
        <v>10000</v>
      </c>
      <c r="C7" s="5" t="s">
        <v>37</v>
      </c>
      <c r="D7" s="27">
        <f aca="true" t="shared" si="0" ref="D7:D12">B7/43560</f>
        <v>0.2295684113865932</v>
      </c>
      <c r="E7" s="5" t="s">
        <v>25</v>
      </c>
      <c r="F7" s="6">
        <f>D7*rates!C$24</f>
        <v>3.092480303030303</v>
      </c>
    </row>
    <row r="8" spans="1:6" ht="12">
      <c r="A8" s="5" t="s">
        <v>96</v>
      </c>
      <c r="B8" s="11">
        <v>745</v>
      </c>
      <c r="C8" s="5" t="s">
        <v>37</v>
      </c>
      <c r="D8" s="27">
        <f t="shared" si="0"/>
        <v>0.017102846648301195</v>
      </c>
      <c r="E8" s="5" t="s">
        <v>25</v>
      </c>
      <c r="F8" s="6">
        <f>D8*rates!C$23</f>
        <v>0.11527102803030306</v>
      </c>
    </row>
    <row r="9" spans="1:6" ht="12">
      <c r="A9" s="5" t="s">
        <v>97</v>
      </c>
      <c r="B9" s="11">
        <v>8954</v>
      </c>
      <c r="C9" s="5" t="s">
        <v>37</v>
      </c>
      <c r="D9" s="27">
        <f t="shared" si="0"/>
        <v>0.20555555555555555</v>
      </c>
      <c r="E9" s="5" t="s">
        <v>25</v>
      </c>
      <c r="F9" s="6">
        <f>D9*rates!C$23</f>
        <v>1.3854185033333335</v>
      </c>
    </row>
    <row r="10" spans="1:6" ht="12">
      <c r="A10" s="5" t="s">
        <v>99</v>
      </c>
      <c r="B10" s="11">
        <v>35000</v>
      </c>
      <c r="C10" s="5" t="s">
        <v>37</v>
      </c>
      <c r="D10" s="27">
        <f t="shared" si="0"/>
        <v>0.8034894398530762</v>
      </c>
      <c r="E10" s="5" t="s">
        <v>25</v>
      </c>
      <c r="F10" s="6">
        <f>D10*rates!C$22</f>
        <v>7.560835629017447</v>
      </c>
    </row>
    <row r="11" spans="1:6" ht="12">
      <c r="A11" s="5" t="s">
        <v>100</v>
      </c>
      <c r="B11" s="11">
        <v>30000</v>
      </c>
      <c r="C11" s="5" t="s">
        <v>37</v>
      </c>
      <c r="D11" s="27">
        <f t="shared" si="0"/>
        <v>0.6887052341597796</v>
      </c>
      <c r="E11" s="5" t="s">
        <v>25</v>
      </c>
      <c r="F11" s="6">
        <f>D11*rates!C$23</f>
        <v>4.641786363636364</v>
      </c>
    </row>
    <row r="12" spans="1:7" ht="12">
      <c r="A12" s="5" t="s">
        <v>101</v>
      </c>
      <c r="B12" s="13">
        <v>0.2</v>
      </c>
      <c r="C12" s="5" t="s">
        <v>25</v>
      </c>
      <c r="D12" s="27">
        <f t="shared" si="0"/>
        <v>4.591368227731864E-06</v>
      </c>
      <c r="F12" s="6">
        <v>0</v>
      </c>
      <c r="G12" s="5" t="s">
        <v>90</v>
      </c>
    </row>
    <row r="13" spans="1:7" ht="12">
      <c r="A13" s="5" t="s">
        <v>70</v>
      </c>
      <c r="D13" s="13">
        <f>D3-SUM(D7:D11)-D12</f>
        <v>13.055573921028467</v>
      </c>
      <c r="E13" s="5" t="s">
        <v>25</v>
      </c>
      <c r="F13" s="6">
        <f>D13*rates!C$5</f>
        <v>5.811870219802231</v>
      </c>
      <c r="G13" s="5" t="s">
        <v>49</v>
      </c>
    </row>
    <row r="14" spans="1:6" ht="12">
      <c r="A14" s="7" t="s">
        <v>52</v>
      </c>
      <c r="B14" s="7"/>
      <c r="C14" s="7"/>
      <c r="D14" s="7"/>
      <c r="E14" s="7"/>
      <c r="F14" s="8">
        <f>SUM(F4:F13)</f>
        <v>174.85171704684998</v>
      </c>
    </row>
    <row r="15" spans="1:6" ht="12">
      <c r="A15" s="7" t="s">
        <v>28</v>
      </c>
      <c r="B15" s="7"/>
      <c r="C15" s="7"/>
      <c r="D15" s="7"/>
      <c r="E15" s="7"/>
      <c r="F15" s="8">
        <f>F14/D3</f>
        <v>11.656781136456665</v>
      </c>
    </row>
    <row r="16" spans="1:5" ht="12">
      <c r="A16" s="5" t="s">
        <v>51</v>
      </c>
      <c r="B16" s="11" t="b">
        <v>0</v>
      </c>
      <c r="D16" s="5">
        <v>0.7</v>
      </c>
      <c r="E16" s="5" t="s">
        <v>55</v>
      </c>
    </row>
    <row r="17" spans="1:7" ht="12">
      <c r="A17" s="9" t="s">
        <v>53</v>
      </c>
      <c r="F17" s="10">
        <f>IF(B$16,F14*D$16,F14)</f>
        <v>174.85171704684998</v>
      </c>
      <c r="G17" s="5" t="s">
        <v>64</v>
      </c>
    </row>
    <row r="18" spans="1:7" ht="12">
      <c r="A18" s="9" t="s">
        <v>54</v>
      </c>
      <c r="F18" s="10">
        <f>IF(B$16,F15*D$16,F15)</f>
        <v>11.656781136456665</v>
      </c>
      <c r="G18" s="5" t="s">
        <v>89</v>
      </c>
    </row>
    <row r="20" spans="1:3" ht="12">
      <c r="A20" s="5" t="s">
        <v>77</v>
      </c>
      <c r="B20" s="11">
        <v>7.5</v>
      </c>
      <c r="C20" s="5" t="s">
        <v>36</v>
      </c>
    </row>
    <row r="21" spans="1:3" ht="12">
      <c r="A21" s="5" t="s">
        <v>34</v>
      </c>
      <c r="B21" s="6">
        <f>D3*B20</f>
        <v>112.5</v>
      </c>
      <c r="C21" s="5" t="s">
        <v>35</v>
      </c>
    </row>
    <row r="23" ht="12">
      <c r="A23" s="5" t="s">
        <v>102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D23" sqref="D23"/>
    </sheetView>
  </sheetViews>
  <sheetFormatPr defaultColWidth="8.8515625" defaultRowHeight="12.75"/>
  <cols>
    <col min="1" max="1" width="31.140625" style="14" customWidth="1"/>
    <col min="2" max="3" width="11.7109375" style="18" customWidth="1"/>
    <col min="4" max="4" width="13.8515625" style="14" customWidth="1"/>
    <col min="5" max="5" width="23.00390625" style="14" customWidth="1"/>
    <col min="6" max="6" width="8.8515625" style="14" customWidth="1"/>
    <col min="7" max="7" width="13.421875" style="14" customWidth="1"/>
    <col min="8" max="16384" width="8.8515625" style="14" customWidth="1"/>
  </cols>
  <sheetData>
    <row r="1" spans="2:3" ht="12.75">
      <c r="B1" s="15" t="s">
        <v>0</v>
      </c>
      <c r="C1" s="15"/>
    </row>
    <row r="2" spans="1:5" ht="12.75">
      <c r="A2" s="16"/>
      <c r="B2" s="15" t="s">
        <v>1</v>
      </c>
      <c r="C2" s="15" t="s">
        <v>26</v>
      </c>
      <c r="E2" s="16" t="s">
        <v>13</v>
      </c>
    </row>
    <row r="3" spans="1:3" ht="12.75">
      <c r="A3" s="14" t="s">
        <v>2</v>
      </c>
      <c r="B3" s="17">
        <v>10.2</v>
      </c>
      <c r="C3" s="17">
        <f>B3*2.2/2.471</f>
        <v>9.081343585592878</v>
      </c>
    </row>
    <row r="4" spans="1:3" ht="12.75">
      <c r="A4" s="14" t="s">
        <v>3</v>
      </c>
      <c r="B4" s="17">
        <v>5</v>
      </c>
      <c r="C4" s="17">
        <f aca="true" t="shared" si="0" ref="C4:C12">B4*2.2/2.471</f>
        <v>4.451639012545528</v>
      </c>
    </row>
    <row r="5" spans="1:3" ht="12.75">
      <c r="A5" s="14" t="s">
        <v>4</v>
      </c>
      <c r="B5" s="18">
        <v>0.5</v>
      </c>
      <c r="C5" s="17">
        <f t="shared" si="0"/>
        <v>0.44516390125455285</v>
      </c>
    </row>
    <row r="6" spans="1:3" ht="12.75">
      <c r="A6" s="14" t="s">
        <v>60</v>
      </c>
      <c r="B6" s="18">
        <v>0.5</v>
      </c>
      <c r="C6" s="17">
        <f t="shared" si="0"/>
        <v>0.44516390125455285</v>
      </c>
    </row>
    <row r="7" spans="1:3" ht="12.75">
      <c r="A7" s="14" t="s">
        <v>61</v>
      </c>
      <c r="B7" s="18">
        <v>10.54</v>
      </c>
      <c r="C7" s="17">
        <f t="shared" si="0"/>
        <v>9.384055038445972</v>
      </c>
    </row>
    <row r="8" spans="1:3" ht="12.75">
      <c r="A8" s="14" t="s">
        <v>5</v>
      </c>
      <c r="B8" s="18">
        <v>5.27</v>
      </c>
      <c r="C8" s="17">
        <f t="shared" si="0"/>
        <v>4.692027519222986</v>
      </c>
    </row>
    <row r="9" spans="1:3" ht="12.75">
      <c r="A9" s="14" t="s">
        <v>6</v>
      </c>
      <c r="B9" s="18">
        <v>22.93</v>
      </c>
      <c r="C9" s="17">
        <v>16.589656009712666</v>
      </c>
    </row>
    <row r="10" spans="1:3" ht="12.75">
      <c r="A10" s="14" t="s">
        <v>7</v>
      </c>
      <c r="B10" s="18">
        <v>15.13</v>
      </c>
      <c r="C10" s="17">
        <f t="shared" si="0"/>
        <v>13.470659651962768</v>
      </c>
    </row>
    <row r="11" spans="1:3" ht="12.75">
      <c r="A11" s="14" t="s">
        <v>8</v>
      </c>
      <c r="B11" s="18">
        <v>10.9</v>
      </c>
      <c r="C11" s="17">
        <f t="shared" si="0"/>
        <v>9.704573047349253</v>
      </c>
    </row>
    <row r="12" spans="1:6" ht="12.75">
      <c r="A12" s="14" t="s">
        <v>9</v>
      </c>
      <c r="B12" s="17">
        <v>0.5</v>
      </c>
      <c r="C12" s="17">
        <f t="shared" si="0"/>
        <v>0.44516390125455285</v>
      </c>
      <c r="D12" s="19"/>
      <c r="F12" s="20"/>
    </row>
    <row r="13" spans="4:6" ht="12.75">
      <c r="D13" s="19"/>
      <c r="F13" s="20"/>
    </row>
    <row r="14" ht="12.75">
      <c r="A14" s="16" t="s">
        <v>10</v>
      </c>
    </row>
    <row r="15" spans="1:4" ht="12.75">
      <c r="A15" s="14" t="s">
        <v>11</v>
      </c>
      <c r="B15" s="17">
        <v>0.5</v>
      </c>
      <c r="C15" s="21"/>
      <c r="D15" s="14" t="s">
        <v>15</v>
      </c>
    </row>
    <row r="16" spans="1:4" ht="12.75">
      <c r="A16" s="14" t="s">
        <v>12</v>
      </c>
      <c r="B16" s="17">
        <v>0</v>
      </c>
      <c r="C16" s="21"/>
      <c r="D16" s="14" t="s">
        <v>15</v>
      </c>
    </row>
    <row r="17" spans="1:6" ht="12.75">
      <c r="A17" s="14" t="s">
        <v>14</v>
      </c>
      <c r="B17" s="18">
        <v>0.5</v>
      </c>
      <c r="C17" s="21"/>
      <c r="F17" s="16"/>
    </row>
    <row r="18" spans="1:6" ht="12.75">
      <c r="A18" s="14" t="s">
        <v>16</v>
      </c>
      <c r="B18" s="18">
        <v>1</v>
      </c>
      <c r="C18" s="21"/>
      <c r="F18" s="16"/>
    </row>
    <row r="19" spans="1:7" ht="12.75">
      <c r="A19" s="14" t="s">
        <v>17</v>
      </c>
      <c r="B19" s="17">
        <v>2.7</v>
      </c>
      <c r="C19" s="21"/>
      <c r="D19" s="14" t="s">
        <v>18</v>
      </c>
      <c r="E19" s="14" t="s">
        <v>19</v>
      </c>
      <c r="F19" s="14">
        <f>B19*2.2</f>
        <v>5.940000000000001</v>
      </c>
      <c r="G19" s="22" t="s">
        <v>62</v>
      </c>
    </row>
    <row r="20" spans="1:5" ht="12.75">
      <c r="A20" s="14" t="s">
        <v>20</v>
      </c>
      <c r="B20" s="18">
        <v>2.5</v>
      </c>
      <c r="D20" s="14" t="s">
        <v>21</v>
      </c>
      <c r="E20" s="14" t="s">
        <v>80</v>
      </c>
    </row>
    <row r="21" spans="1:5" ht="12.75">
      <c r="A21" s="14" t="s">
        <v>22</v>
      </c>
      <c r="B21" s="18">
        <v>4</v>
      </c>
      <c r="D21" s="14" t="s">
        <v>21</v>
      </c>
      <c r="E21" s="14" t="s">
        <v>80</v>
      </c>
    </row>
    <row r="22" spans="1:5" ht="12.75">
      <c r="A22" s="14" t="s">
        <v>23</v>
      </c>
      <c r="B22" s="18">
        <v>10.54</v>
      </c>
      <c r="C22" s="17">
        <v>9.41</v>
      </c>
      <c r="D22" s="14" t="s">
        <v>110</v>
      </c>
      <c r="E22" s="22"/>
    </row>
    <row r="23" spans="1:3" ht="12.75">
      <c r="A23" s="14" t="s">
        <v>63</v>
      </c>
      <c r="B23" s="18">
        <v>7.57</v>
      </c>
      <c r="C23" s="20">
        <f>B23*2.2*0.4047</f>
        <v>6.739873800000002</v>
      </c>
    </row>
    <row r="24" spans="1:3" ht="12.75">
      <c r="A24" s="14" t="s">
        <v>24</v>
      </c>
      <c r="B24" s="18">
        <v>15.13</v>
      </c>
      <c r="C24" s="20">
        <f>B24*2.2*0.4047</f>
        <v>13.4708442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 Subdivision Spreadsheet</dc:title>
  <dc:subject/>
  <dc:creator>Joe Costa</dc:creator>
  <cp:keywords/>
  <dc:description/>
  <cp:lastModifiedBy>J</cp:lastModifiedBy>
  <cp:lastPrinted>2003-09-18T16:37:39Z</cp:lastPrinted>
  <dcterms:created xsi:type="dcterms:W3CDTF">2002-04-17T13:45:39Z</dcterms:created>
  <dcterms:modified xsi:type="dcterms:W3CDTF">2011-10-14T20:45:22Z</dcterms:modified>
  <cp:category/>
  <cp:version/>
  <cp:contentType/>
  <cp:contentStatus/>
</cp:coreProperties>
</file>